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btech10\Downloads\"/>
    </mc:Choice>
  </mc:AlternateContent>
  <xr:revisionPtr revIDLastSave="0" documentId="13_ncr:1_{7341F73A-A83F-410D-B641-6F3C58AE7E2F}" xr6:coauthVersionLast="47" xr6:coauthVersionMax="47" xr10:uidLastSave="{00000000-0000-0000-0000-000000000000}"/>
  <bookViews>
    <workbookView xWindow="-120" yWindow="-120" windowWidth="29040" windowHeight="15720" tabRatio="500" firstSheet="7" activeTab="7" xr2:uid="{00000000-000D-0000-FFFF-FFFF00000000}"/>
  </bookViews>
  <sheets>
    <sheet name="PRATICA M" sheetId="1" state="hidden" r:id="rId1"/>
    <sheet name="PRATICA FL SP" sheetId="2" state="hidden" r:id="rId2"/>
    <sheet name="FATURAMENTO CONSOLIDADO PRATICA" sheetId="3" state="hidden" r:id="rId3"/>
    <sheet name="TOTAL 2012" sheetId="4" state="hidden" r:id="rId4"/>
    <sheet name="2012" sheetId="5" state="hidden" r:id="rId5"/>
    <sheet name="Luiza" sheetId="6" state="hidden" r:id="rId6"/>
    <sheet name="2013" sheetId="7" state="hidden" r:id="rId7"/>
    <sheet name="2026 (2)" sheetId="9" r:id="rId8"/>
    <sheet name="2026" sheetId="8" state="hidden" r:id="rId9"/>
  </sheets>
  <definedNames>
    <definedName name="_xlnm._FilterDatabase" localSheetId="4">'2012'!$A$1:$N$34</definedName>
  </definedNames>
  <calcPr calcId="191029" concurrentCalc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" i="9" l="1"/>
  <c r="F4" i="9"/>
  <c r="F5" i="9"/>
  <c r="Y4" i="9"/>
  <c r="F8" i="9"/>
  <c r="F9" i="9"/>
  <c r="Y7" i="9"/>
  <c r="Y2" i="9"/>
  <c r="AA6" i="9"/>
  <c r="Z6" i="9"/>
  <c r="AA7" i="9"/>
  <c r="H10" i="9"/>
  <c r="H8" i="9"/>
  <c r="AB7" i="9"/>
  <c r="AA3" i="9"/>
  <c r="Z2" i="9"/>
  <c r="AA4" i="9"/>
  <c r="H7" i="9"/>
  <c r="H11" i="9"/>
  <c r="H13" i="9"/>
  <c r="H14" i="9"/>
  <c r="H15" i="9"/>
  <c r="H17" i="9"/>
  <c r="G2" i="9"/>
  <c r="G3" i="9"/>
  <c r="G4" i="9"/>
  <c r="G5" i="9"/>
  <c r="G6" i="9"/>
  <c r="G7" i="9"/>
  <c r="G9" i="9"/>
  <c r="G10" i="9"/>
  <c r="G11" i="9"/>
  <c r="G12" i="9"/>
  <c r="G13" i="9"/>
  <c r="G14" i="9"/>
  <c r="G15" i="9"/>
  <c r="D16" i="9"/>
  <c r="G16" i="9"/>
  <c r="G17" i="9"/>
  <c r="Z8" i="8"/>
  <c r="Y3" i="9"/>
  <c r="AB4" i="9"/>
  <c r="Y6" i="9"/>
  <c r="S39" i="9"/>
  <c r="S40" i="9"/>
  <c r="S42" i="9"/>
  <c r="R35" i="9"/>
  <c r="R39" i="9"/>
  <c r="R40" i="9"/>
  <c r="R42" i="9"/>
  <c r="Q39" i="9"/>
  <c r="Q40" i="9"/>
  <c r="Q42" i="9"/>
  <c r="O39" i="9"/>
  <c r="O40" i="9"/>
  <c r="O42" i="9"/>
  <c r="N39" i="9"/>
  <c r="N40" i="9"/>
  <c r="N42" i="9"/>
  <c r="M39" i="9"/>
  <c r="M40" i="9"/>
  <c r="M42" i="9"/>
  <c r="K39" i="9"/>
  <c r="K40" i="9"/>
  <c r="K42" i="9"/>
  <c r="J39" i="9"/>
  <c r="J40" i="9"/>
  <c r="J42" i="9"/>
  <c r="I39" i="9"/>
  <c r="I40" i="9"/>
  <c r="I42" i="9"/>
  <c r="E39" i="9"/>
  <c r="E40" i="9"/>
  <c r="E42" i="9"/>
  <c r="D39" i="9"/>
  <c r="D40" i="9"/>
  <c r="D42" i="9"/>
  <c r="C39" i="9"/>
  <c r="C40" i="9"/>
  <c r="C42" i="9"/>
  <c r="S35" i="9"/>
  <c r="S36" i="9"/>
  <c r="S38" i="9"/>
  <c r="R36" i="9"/>
  <c r="R38" i="9"/>
  <c r="Q35" i="9"/>
  <c r="Q36" i="9"/>
  <c r="Q38" i="9"/>
  <c r="O35" i="9"/>
  <c r="O36" i="9"/>
  <c r="O38" i="9"/>
  <c r="N35" i="9"/>
  <c r="N36" i="9"/>
  <c r="N38" i="9"/>
  <c r="M35" i="9"/>
  <c r="M36" i="9"/>
  <c r="M38" i="9"/>
  <c r="K35" i="9"/>
  <c r="K36" i="9"/>
  <c r="K38" i="9"/>
  <c r="J35" i="9"/>
  <c r="J36" i="9"/>
  <c r="J38" i="9"/>
  <c r="I35" i="9"/>
  <c r="I36" i="9"/>
  <c r="I38" i="9"/>
  <c r="E35" i="9"/>
  <c r="E36" i="9"/>
  <c r="E38" i="9"/>
  <c r="D35" i="9"/>
  <c r="D36" i="9"/>
  <c r="D38" i="9"/>
  <c r="C35" i="9"/>
  <c r="C36" i="9"/>
  <c r="C38" i="9"/>
  <c r="U34" i="9"/>
  <c r="Q19" i="9"/>
  <c r="R19" i="9"/>
  <c r="S19" i="9"/>
  <c r="T19" i="9"/>
  <c r="Q20" i="9"/>
  <c r="R20" i="9"/>
  <c r="S20" i="9"/>
  <c r="T20" i="9"/>
  <c r="Q21" i="9"/>
  <c r="R21" i="9"/>
  <c r="S21" i="9"/>
  <c r="T21" i="9"/>
  <c r="Q22" i="9"/>
  <c r="R22" i="9"/>
  <c r="S22" i="9"/>
  <c r="T22" i="9"/>
  <c r="Q23" i="9"/>
  <c r="R23" i="9"/>
  <c r="S23" i="9"/>
  <c r="T23" i="9"/>
  <c r="T24" i="9"/>
  <c r="Q25" i="9"/>
  <c r="R25" i="9"/>
  <c r="S25" i="9"/>
  <c r="T25" i="9"/>
  <c r="Q26" i="9"/>
  <c r="R26" i="9"/>
  <c r="S26" i="9"/>
  <c r="T26" i="9"/>
  <c r="T27" i="9"/>
  <c r="T28" i="9"/>
  <c r="Q29" i="9"/>
  <c r="R29" i="9"/>
  <c r="S29" i="9"/>
  <c r="T29" i="9"/>
  <c r="T30" i="9"/>
  <c r="T31" i="9"/>
  <c r="T32" i="9"/>
  <c r="T33" i="9"/>
  <c r="M19" i="9"/>
  <c r="N19" i="9"/>
  <c r="O19" i="9"/>
  <c r="P19" i="9"/>
  <c r="M20" i="9"/>
  <c r="N20" i="9"/>
  <c r="O20" i="9"/>
  <c r="P20" i="9"/>
  <c r="M21" i="9"/>
  <c r="N21" i="9"/>
  <c r="O21" i="9"/>
  <c r="P21" i="9"/>
  <c r="M22" i="9"/>
  <c r="N22" i="9"/>
  <c r="O22" i="9"/>
  <c r="P22" i="9"/>
  <c r="M23" i="9"/>
  <c r="N23" i="9"/>
  <c r="O23" i="9"/>
  <c r="P23" i="9"/>
  <c r="P24" i="9"/>
  <c r="M25" i="9"/>
  <c r="N25" i="9"/>
  <c r="O25" i="9"/>
  <c r="P25" i="9"/>
  <c r="M26" i="9"/>
  <c r="N26" i="9"/>
  <c r="O26" i="9"/>
  <c r="P26" i="9"/>
  <c r="P27" i="9"/>
  <c r="P28" i="9"/>
  <c r="M29" i="9"/>
  <c r="N29" i="9"/>
  <c r="O29" i="9"/>
  <c r="P29" i="9"/>
  <c r="P30" i="9"/>
  <c r="P31" i="9"/>
  <c r="P32" i="9"/>
  <c r="P33" i="9"/>
  <c r="I19" i="9"/>
  <c r="J19" i="9"/>
  <c r="K19" i="9"/>
  <c r="L19" i="9"/>
  <c r="I20" i="9"/>
  <c r="J20" i="9"/>
  <c r="K20" i="9"/>
  <c r="L20" i="9"/>
  <c r="I21" i="9"/>
  <c r="J21" i="9"/>
  <c r="K21" i="9"/>
  <c r="L21" i="9"/>
  <c r="I22" i="9"/>
  <c r="J22" i="9"/>
  <c r="K22" i="9"/>
  <c r="L22" i="9"/>
  <c r="I23" i="9"/>
  <c r="J23" i="9"/>
  <c r="K23" i="9"/>
  <c r="L23" i="9"/>
  <c r="L24" i="9"/>
  <c r="I25" i="9"/>
  <c r="J25" i="9"/>
  <c r="K25" i="9"/>
  <c r="L25" i="9"/>
  <c r="I26" i="9"/>
  <c r="J26" i="9"/>
  <c r="K26" i="9"/>
  <c r="L26" i="9"/>
  <c r="L27" i="9"/>
  <c r="L28" i="9"/>
  <c r="I29" i="9"/>
  <c r="J29" i="9"/>
  <c r="K29" i="9"/>
  <c r="L29" i="9"/>
  <c r="L30" i="9"/>
  <c r="L31" i="9"/>
  <c r="L32" i="9"/>
  <c r="L33" i="9"/>
  <c r="C19" i="9"/>
  <c r="D19" i="9"/>
  <c r="E19" i="9"/>
  <c r="F19" i="9"/>
  <c r="C20" i="9"/>
  <c r="D20" i="9"/>
  <c r="E20" i="9"/>
  <c r="F20" i="9"/>
  <c r="C21" i="9"/>
  <c r="D21" i="9"/>
  <c r="E21" i="9"/>
  <c r="F21" i="9"/>
  <c r="C22" i="9"/>
  <c r="D22" i="9"/>
  <c r="E22" i="9"/>
  <c r="F22" i="9"/>
  <c r="C23" i="9"/>
  <c r="D23" i="9"/>
  <c r="E23" i="9"/>
  <c r="F23" i="9"/>
  <c r="F24" i="9"/>
  <c r="C25" i="9"/>
  <c r="D25" i="9"/>
  <c r="E25" i="9"/>
  <c r="F25" i="9"/>
  <c r="C26" i="9"/>
  <c r="D26" i="9"/>
  <c r="E26" i="9"/>
  <c r="F26" i="9"/>
  <c r="F27" i="9"/>
  <c r="F28" i="9"/>
  <c r="C29" i="9"/>
  <c r="D29" i="9"/>
  <c r="E29" i="9"/>
  <c r="F29" i="9"/>
  <c r="F30" i="9"/>
  <c r="F31" i="9"/>
  <c r="F32" i="9"/>
  <c r="F33" i="9"/>
  <c r="U33" i="9"/>
  <c r="S24" i="9"/>
  <c r="S27" i="9"/>
  <c r="S28" i="9"/>
  <c r="S30" i="9"/>
  <c r="S31" i="9"/>
  <c r="S33" i="9"/>
  <c r="R24" i="9"/>
  <c r="R27" i="9"/>
  <c r="R28" i="9"/>
  <c r="R30" i="9"/>
  <c r="R31" i="9"/>
  <c r="R33" i="9"/>
  <c r="Q24" i="9"/>
  <c r="Q27" i="9"/>
  <c r="Q28" i="9"/>
  <c r="Q30" i="9"/>
  <c r="Q31" i="9"/>
  <c r="Q33" i="9"/>
  <c r="O24" i="9"/>
  <c r="O27" i="9"/>
  <c r="O28" i="9"/>
  <c r="O30" i="9"/>
  <c r="O31" i="9"/>
  <c r="O33" i="9"/>
  <c r="N24" i="9"/>
  <c r="N27" i="9"/>
  <c r="N28" i="9"/>
  <c r="N30" i="9"/>
  <c r="N31" i="9"/>
  <c r="N33" i="9"/>
  <c r="M24" i="9"/>
  <c r="M27" i="9"/>
  <c r="M28" i="9"/>
  <c r="M30" i="9"/>
  <c r="M31" i="9"/>
  <c r="M33" i="9"/>
  <c r="K24" i="9"/>
  <c r="K27" i="9"/>
  <c r="K28" i="9"/>
  <c r="K30" i="9"/>
  <c r="K31" i="9"/>
  <c r="K33" i="9"/>
  <c r="J24" i="9"/>
  <c r="J27" i="9"/>
  <c r="J28" i="9"/>
  <c r="J30" i="9"/>
  <c r="J31" i="9"/>
  <c r="J33" i="9"/>
  <c r="I24" i="9"/>
  <c r="I27" i="9"/>
  <c r="I28" i="9"/>
  <c r="I30" i="9"/>
  <c r="I31" i="9"/>
  <c r="I33" i="9"/>
  <c r="E24" i="9"/>
  <c r="E27" i="9"/>
  <c r="E28" i="9"/>
  <c r="E30" i="9"/>
  <c r="E31" i="9"/>
  <c r="E33" i="9"/>
  <c r="D24" i="9"/>
  <c r="D27" i="9"/>
  <c r="D28" i="9"/>
  <c r="D30" i="9"/>
  <c r="D31" i="9"/>
  <c r="D33" i="9"/>
  <c r="C24" i="9"/>
  <c r="C27" i="9"/>
  <c r="C28" i="9"/>
  <c r="C30" i="9"/>
  <c r="C31" i="9"/>
  <c r="C33" i="9"/>
  <c r="U18" i="9"/>
  <c r="T2" i="9"/>
  <c r="T3" i="9"/>
  <c r="T4" i="9"/>
  <c r="T5" i="9"/>
  <c r="T6" i="9"/>
  <c r="T7" i="9"/>
  <c r="T8" i="9"/>
  <c r="T9" i="9"/>
  <c r="T10" i="9"/>
  <c r="T11" i="9"/>
  <c r="T12" i="9"/>
  <c r="T13" i="9"/>
  <c r="T14" i="9"/>
  <c r="T15" i="9"/>
  <c r="T16" i="9"/>
  <c r="T17" i="9"/>
  <c r="P2" i="9"/>
  <c r="P3" i="9"/>
  <c r="P4" i="9"/>
  <c r="P5" i="9"/>
  <c r="P6" i="9"/>
  <c r="P7" i="9"/>
  <c r="P8" i="9"/>
  <c r="P9" i="9"/>
  <c r="P10" i="9"/>
  <c r="P11" i="9"/>
  <c r="P12" i="9"/>
  <c r="P13" i="9"/>
  <c r="P14" i="9"/>
  <c r="P15" i="9"/>
  <c r="P16" i="9"/>
  <c r="P17" i="9"/>
  <c r="L2" i="9"/>
  <c r="L3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F3" i="9"/>
  <c r="F6" i="9"/>
  <c r="F7" i="9"/>
  <c r="F10" i="9"/>
  <c r="F11" i="9"/>
  <c r="F12" i="9"/>
  <c r="F13" i="9"/>
  <c r="F14" i="9"/>
  <c r="F15" i="9"/>
  <c r="F16" i="9"/>
  <c r="F17" i="9"/>
  <c r="U17" i="9"/>
  <c r="S7" i="9"/>
  <c r="S10" i="9"/>
  <c r="S11" i="9"/>
  <c r="S13" i="9"/>
  <c r="S14" i="9"/>
  <c r="S15" i="9"/>
  <c r="S17" i="9"/>
  <c r="R7" i="9"/>
  <c r="R10" i="9"/>
  <c r="R11" i="9"/>
  <c r="R13" i="9"/>
  <c r="R14" i="9"/>
  <c r="R15" i="9"/>
  <c r="R17" i="9"/>
  <c r="Q7" i="9"/>
  <c r="Q10" i="9"/>
  <c r="Q11" i="9"/>
  <c r="Q13" i="9"/>
  <c r="Q14" i="9"/>
  <c r="Q15" i="9"/>
  <c r="Q17" i="9"/>
  <c r="O7" i="9"/>
  <c r="O10" i="9"/>
  <c r="O11" i="9"/>
  <c r="O13" i="9"/>
  <c r="O14" i="9"/>
  <c r="O15" i="9"/>
  <c r="O17" i="9"/>
  <c r="N7" i="9"/>
  <c r="N10" i="9"/>
  <c r="N11" i="9"/>
  <c r="N13" i="9"/>
  <c r="N14" i="9"/>
  <c r="N15" i="9"/>
  <c r="N17" i="9"/>
  <c r="M7" i="9"/>
  <c r="M10" i="9"/>
  <c r="M11" i="9"/>
  <c r="M13" i="9"/>
  <c r="M14" i="9"/>
  <c r="M15" i="9"/>
  <c r="M17" i="9"/>
  <c r="K7" i="9"/>
  <c r="K10" i="9"/>
  <c r="K11" i="9"/>
  <c r="K13" i="9"/>
  <c r="K14" i="9"/>
  <c r="K15" i="9"/>
  <c r="K17" i="9"/>
  <c r="J7" i="9"/>
  <c r="J10" i="9"/>
  <c r="J11" i="9"/>
  <c r="J13" i="9"/>
  <c r="J14" i="9"/>
  <c r="J15" i="9"/>
  <c r="J17" i="9"/>
  <c r="I7" i="9"/>
  <c r="I10" i="9"/>
  <c r="I11" i="9"/>
  <c r="I13" i="9"/>
  <c r="I14" i="9"/>
  <c r="I15" i="9"/>
  <c r="I17" i="9"/>
  <c r="H2" i="9"/>
  <c r="E7" i="9"/>
  <c r="E10" i="9"/>
  <c r="E11" i="9"/>
  <c r="E13" i="9"/>
  <c r="E14" i="9"/>
  <c r="E15" i="9"/>
  <c r="E17" i="9"/>
  <c r="D7" i="9"/>
  <c r="D10" i="9"/>
  <c r="D11" i="9"/>
  <c r="D13" i="9"/>
  <c r="D14" i="9"/>
  <c r="D15" i="9"/>
  <c r="D17" i="9"/>
  <c r="C7" i="9"/>
  <c r="C10" i="9"/>
  <c r="C11" i="9"/>
  <c r="C13" i="9"/>
  <c r="C14" i="9"/>
  <c r="C15" i="9"/>
  <c r="C17" i="9"/>
  <c r="G11" i="8"/>
  <c r="G12" i="8"/>
  <c r="G13" i="8"/>
  <c r="G15" i="8"/>
  <c r="F15" i="8"/>
  <c r="D15" i="8"/>
  <c r="H12" i="8"/>
  <c r="H13" i="8"/>
  <c r="H14" i="8"/>
  <c r="H15" i="8"/>
  <c r="H17" i="8"/>
  <c r="H16" i="8"/>
  <c r="G16" i="8"/>
  <c r="H11" i="8"/>
  <c r="H10" i="8"/>
  <c r="G9" i="8"/>
  <c r="H9" i="8"/>
  <c r="G4" i="8"/>
  <c r="AA34" i="8"/>
  <c r="AA31" i="8"/>
  <c r="AA43" i="8"/>
  <c r="AB43" i="8"/>
  <c r="AA24" i="8"/>
  <c r="Y29" i="8"/>
  <c r="Y24" i="8"/>
  <c r="Y23" i="8"/>
  <c r="AA30" i="8"/>
  <c r="AA35" i="8"/>
  <c r="AB35" i="8"/>
  <c r="Z23" i="8"/>
  <c r="AA25" i="8"/>
  <c r="AB34" i="8"/>
  <c r="Z29" i="8"/>
  <c r="AB30" i="8"/>
  <c r="AB25" i="8"/>
  <c r="AA13" i="8"/>
  <c r="AB13" i="8"/>
  <c r="H8" i="8"/>
  <c r="AA3" i="8"/>
  <c r="AA4" i="8"/>
  <c r="AA10" i="8"/>
  <c r="F8" i="8"/>
  <c r="Y8" i="8"/>
  <c r="AA14" i="8"/>
  <c r="H4" i="8"/>
  <c r="H7" i="8"/>
  <c r="H6" i="8"/>
  <c r="H5" i="8"/>
  <c r="H3" i="8"/>
  <c r="H2" i="8"/>
  <c r="G10" i="8"/>
  <c r="G2" i="8"/>
  <c r="G7" i="8"/>
  <c r="G3" i="8"/>
  <c r="F2" i="8"/>
  <c r="F3" i="8"/>
  <c r="F4" i="8"/>
  <c r="F5" i="8"/>
  <c r="F6" i="8"/>
  <c r="F7" i="8"/>
  <c r="F9" i="8"/>
  <c r="F10" i="8"/>
  <c r="F11" i="8"/>
  <c r="F12" i="8"/>
  <c r="F13" i="8"/>
  <c r="F14" i="8"/>
  <c r="F16" i="8"/>
  <c r="F17" i="8"/>
  <c r="Y3" i="8"/>
  <c r="Z2" i="8"/>
  <c r="AB4" i="8"/>
  <c r="G6" i="8"/>
  <c r="G5" i="8"/>
  <c r="G14" i="8"/>
  <c r="G17" i="8"/>
  <c r="Y2" i="8"/>
  <c r="AA9" i="8"/>
  <c r="AB14" i="8"/>
  <c r="AB9" i="8"/>
  <c r="D7" i="8"/>
  <c r="D16" i="8"/>
  <c r="T16" i="8"/>
  <c r="L2" i="8"/>
  <c r="L4" i="8"/>
  <c r="L5" i="8"/>
  <c r="L8" i="8"/>
  <c r="L9" i="8"/>
  <c r="L12" i="8"/>
  <c r="L16" i="8"/>
  <c r="L32" i="8"/>
  <c r="D29" i="8"/>
  <c r="R7" i="8"/>
  <c r="R10" i="8"/>
  <c r="R11" i="8"/>
  <c r="R13" i="8"/>
  <c r="O19" i="8"/>
  <c r="O20" i="8"/>
  <c r="O21" i="8"/>
  <c r="O22" i="8"/>
  <c r="O23" i="8"/>
  <c r="O24" i="8"/>
  <c r="M10" i="8"/>
  <c r="M7" i="8"/>
  <c r="M11" i="8"/>
  <c r="M13" i="8"/>
  <c r="T32" i="8"/>
  <c r="Q29" i="8"/>
  <c r="S29" i="8"/>
  <c r="Q26" i="8"/>
  <c r="R26" i="8"/>
  <c r="S26" i="8"/>
  <c r="Q25" i="8"/>
  <c r="R25" i="8"/>
  <c r="S25" i="8"/>
  <c r="T25" i="8"/>
  <c r="Q23" i="8"/>
  <c r="R23" i="8"/>
  <c r="S23" i="8"/>
  <c r="T23" i="8"/>
  <c r="Q22" i="8"/>
  <c r="R22" i="8"/>
  <c r="S22" i="8"/>
  <c r="Q21" i="8"/>
  <c r="Q19" i="8"/>
  <c r="Q20" i="8"/>
  <c r="Q24" i="8"/>
  <c r="Q27" i="8"/>
  <c r="Q28" i="8"/>
  <c r="Q30" i="8"/>
  <c r="Q31" i="8"/>
  <c r="Q33" i="8"/>
  <c r="R21" i="8"/>
  <c r="S21" i="8"/>
  <c r="R20" i="8"/>
  <c r="S20" i="8"/>
  <c r="T20" i="8"/>
  <c r="R19" i="8"/>
  <c r="S19" i="8"/>
  <c r="P32" i="8"/>
  <c r="M23" i="8"/>
  <c r="N23" i="8"/>
  <c r="P23" i="8"/>
  <c r="M20" i="8"/>
  <c r="N20" i="8"/>
  <c r="P20" i="8"/>
  <c r="T12" i="8"/>
  <c r="T2" i="8"/>
  <c r="T4" i="8"/>
  <c r="T5" i="8"/>
  <c r="T3" i="8"/>
  <c r="T8" i="8"/>
  <c r="T9" i="8"/>
  <c r="T6" i="8"/>
  <c r="P16" i="8"/>
  <c r="P12" i="8"/>
  <c r="P9" i="8"/>
  <c r="P8" i="8"/>
  <c r="P6" i="8"/>
  <c r="P5" i="8"/>
  <c r="P4" i="8"/>
  <c r="P3" i="8"/>
  <c r="P2" i="8"/>
  <c r="I29" i="8"/>
  <c r="J29" i="8"/>
  <c r="K29" i="8"/>
  <c r="L29" i="8"/>
  <c r="C19" i="8"/>
  <c r="D19" i="8"/>
  <c r="E19" i="8"/>
  <c r="E20" i="8"/>
  <c r="E21" i="8"/>
  <c r="E22" i="8"/>
  <c r="E23" i="8"/>
  <c r="E24" i="8"/>
  <c r="C20" i="8"/>
  <c r="D20" i="8"/>
  <c r="F20" i="8"/>
  <c r="C21" i="8"/>
  <c r="C22" i="8"/>
  <c r="C23" i="8"/>
  <c r="C24" i="8"/>
  <c r="D21" i="8"/>
  <c r="D22" i="8"/>
  <c r="D23" i="8"/>
  <c r="F23" i="8"/>
  <c r="C25" i="8"/>
  <c r="D25" i="8"/>
  <c r="E25" i="8"/>
  <c r="C26" i="8"/>
  <c r="C27" i="8"/>
  <c r="D26" i="8"/>
  <c r="E26" i="8"/>
  <c r="F26" i="8"/>
  <c r="I26" i="8"/>
  <c r="J26" i="8"/>
  <c r="K26" i="8"/>
  <c r="I25" i="8"/>
  <c r="J25" i="8"/>
  <c r="K25" i="8"/>
  <c r="L25" i="8"/>
  <c r="I23" i="8"/>
  <c r="J23" i="8"/>
  <c r="K23" i="8"/>
  <c r="L23" i="8"/>
  <c r="I21" i="8"/>
  <c r="J21" i="8"/>
  <c r="J19" i="8"/>
  <c r="J20" i="8"/>
  <c r="J22" i="8"/>
  <c r="J24" i="8"/>
  <c r="K21" i="8"/>
  <c r="I20" i="8"/>
  <c r="K20" i="8"/>
  <c r="L20" i="8"/>
  <c r="I19" i="8"/>
  <c r="K19" i="8"/>
  <c r="L6" i="8"/>
  <c r="L3" i="8"/>
  <c r="F32" i="8"/>
  <c r="E10" i="8"/>
  <c r="C29" i="8"/>
  <c r="R27" i="8"/>
  <c r="O29" i="8"/>
  <c r="N29" i="8"/>
  <c r="M29" i="8"/>
  <c r="N25" i="8"/>
  <c r="N26" i="8"/>
  <c r="N27" i="8"/>
  <c r="O26" i="8"/>
  <c r="M26" i="8"/>
  <c r="O25" i="8"/>
  <c r="O27" i="8"/>
  <c r="M25" i="8"/>
  <c r="P25" i="8"/>
  <c r="M27" i="8"/>
  <c r="N22" i="8"/>
  <c r="M22" i="8"/>
  <c r="P22" i="8"/>
  <c r="N21" i="8"/>
  <c r="M21" i="8"/>
  <c r="M19" i="8"/>
  <c r="N19" i="8"/>
  <c r="P19" i="8"/>
  <c r="K22" i="8"/>
  <c r="K24" i="8"/>
  <c r="I22" i="8"/>
  <c r="E29" i="8"/>
  <c r="S7" i="8"/>
  <c r="S10" i="8"/>
  <c r="S11" i="8"/>
  <c r="S13" i="8"/>
  <c r="Q10" i="8"/>
  <c r="Q7" i="8"/>
  <c r="Q11" i="8"/>
  <c r="Q13" i="8"/>
  <c r="O10" i="8"/>
  <c r="O7" i="8"/>
  <c r="O11" i="8"/>
  <c r="O13" i="8"/>
  <c r="N10" i="8"/>
  <c r="N7" i="8"/>
  <c r="K10" i="8"/>
  <c r="K7" i="8"/>
  <c r="K11" i="8"/>
  <c r="K13" i="8"/>
  <c r="J10" i="8"/>
  <c r="I10" i="8"/>
  <c r="J7" i="8"/>
  <c r="I7" i="8"/>
  <c r="E7" i="8"/>
  <c r="E11" i="8"/>
  <c r="E13" i="8"/>
  <c r="D10" i="8"/>
  <c r="C10" i="8"/>
  <c r="C7" i="8"/>
  <c r="Q39" i="8"/>
  <c r="Q40" i="8"/>
  <c r="Q42" i="8"/>
  <c r="R35" i="8"/>
  <c r="R36" i="8"/>
  <c r="R38" i="8"/>
  <c r="Q35" i="8"/>
  <c r="Q36" i="8"/>
  <c r="Q38" i="8"/>
  <c r="N39" i="8"/>
  <c r="N40" i="8"/>
  <c r="N42" i="8"/>
  <c r="N35" i="8"/>
  <c r="N36" i="8"/>
  <c r="N38" i="8"/>
  <c r="J39" i="8"/>
  <c r="J40" i="8"/>
  <c r="J42" i="8"/>
  <c r="J35" i="8"/>
  <c r="J36" i="8"/>
  <c r="J38" i="8"/>
  <c r="I35" i="8"/>
  <c r="I36" i="8"/>
  <c r="I38" i="8"/>
  <c r="S39" i="8"/>
  <c r="S40" i="8"/>
  <c r="S42" i="8"/>
  <c r="O39" i="8"/>
  <c r="O40" i="8"/>
  <c r="O42" i="8"/>
  <c r="M39" i="8"/>
  <c r="M40" i="8"/>
  <c r="M42" i="8"/>
  <c r="K39" i="8"/>
  <c r="K40" i="8"/>
  <c r="K42" i="8"/>
  <c r="I39" i="8"/>
  <c r="I40" i="8"/>
  <c r="I42" i="8"/>
  <c r="E39" i="8"/>
  <c r="E40" i="8"/>
  <c r="E42" i="8"/>
  <c r="D39" i="8"/>
  <c r="D40" i="8"/>
  <c r="D42" i="8"/>
  <c r="C39" i="8"/>
  <c r="C40" i="8"/>
  <c r="C42" i="8"/>
  <c r="S35" i="8"/>
  <c r="S36" i="8"/>
  <c r="S38" i="8"/>
  <c r="O35" i="8"/>
  <c r="O36" i="8"/>
  <c r="O38" i="8"/>
  <c r="M35" i="8"/>
  <c r="M36" i="8"/>
  <c r="M38" i="8"/>
  <c r="K35" i="8"/>
  <c r="K36" i="8"/>
  <c r="K38" i="8"/>
  <c r="E35" i="8"/>
  <c r="E36" i="8"/>
  <c r="E38" i="8"/>
  <c r="D35" i="8"/>
  <c r="D36" i="8"/>
  <c r="D38" i="8"/>
  <c r="C35" i="8"/>
  <c r="C36" i="8"/>
  <c r="C38" i="8"/>
  <c r="U34" i="8"/>
  <c r="U18" i="8"/>
  <c r="P29" i="7"/>
  <c r="P30" i="7"/>
  <c r="P32" i="7"/>
  <c r="O29" i="7"/>
  <c r="O30" i="7"/>
  <c r="O32" i="7"/>
  <c r="K29" i="7"/>
  <c r="K30" i="7"/>
  <c r="K32" i="7"/>
  <c r="Q29" i="7"/>
  <c r="Q30" i="7"/>
  <c r="Q32" i="7"/>
  <c r="M29" i="7"/>
  <c r="M30" i="7"/>
  <c r="M32" i="7"/>
  <c r="L29" i="7"/>
  <c r="L30" i="7"/>
  <c r="L32" i="7"/>
  <c r="I29" i="7"/>
  <c r="I30" i="7"/>
  <c r="I32" i="7"/>
  <c r="H29" i="7"/>
  <c r="H30" i="7"/>
  <c r="H32" i="7"/>
  <c r="G29" i="7"/>
  <c r="G30" i="7"/>
  <c r="G32" i="7"/>
  <c r="P25" i="7"/>
  <c r="P26" i="7"/>
  <c r="P28" i="7"/>
  <c r="O25" i="7"/>
  <c r="O26" i="7"/>
  <c r="O28" i="7"/>
  <c r="D2" i="7"/>
  <c r="D25" i="7"/>
  <c r="D26" i="7"/>
  <c r="D28" i="7"/>
  <c r="I25" i="7"/>
  <c r="I26" i="7"/>
  <c r="I28" i="7"/>
  <c r="Q25" i="7"/>
  <c r="Q26" i="7"/>
  <c r="Q28" i="7"/>
  <c r="M25" i="7"/>
  <c r="M26" i="7"/>
  <c r="M28" i="7"/>
  <c r="L25" i="7"/>
  <c r="L26" i="7"/>
  <c r="L28" i="7"/>
  <c r="K25" i="7"/>
  <c r="K26" i="7"/>
  <c r="K28" i="7"/>
  <c r="H25" i="7"/>
  <c r="H26" i="7"/>
  <c r="H28" i="7"/>
  <c r="G25" i="7"/>
  <c r="G26" i="7"/>
  <c r="G28" i="7"/>
  <c r="E2" i="7"/>
  <c r="E25" i="7"/>
  <c r="E26" i="7"/>
  <c r="E28" i="7"/>
  <c r="S24" i="7"/>
  <c r="J22" i="7"/>
  <c r="F22" i="7"/>
  <c r="R7" i="7"/>
  <c r="R19" i="7"/>
  <c r="Q19" i="7"/>
  <c r="P19" i="7"/>
  <c r="O19" i="7"/>
  <c r="N19" i="7"/>
  <c r="M19" i="7"/>
  <c r="I19" i="7"/>
  <c r="H19" i="7"/>
  <c r="G19" i="7"/>
  <c r="J19" i="7"/>
  <c r="E19" i="7"/>
  <c r="D19" i="7"/>
  <c r="C19" i="7"/>
  <c r="F19" i="7"/>
  <c r="P16" i="7"/>
  <c r="P17" i="7"/>
  <c r="L16" i="7"/>
  <c r="L17" i="7"/>
  <c r="L14" i="7"/>
  <c r="L15" i="7"/>
  <c r="L18" i="7"/>
  <c r="L20" i="7"/>
  <c r="L21" i="7"/>
  <c r="L23" i="7"/>
  <c r="H16" i="7"/>
  <c r="H17" i="7"/>
  <c r="E16" i="7"/>
  <c r="E17" i="7"/>
  <c r="D16" i="7"/>
  <c r="D17" i="7"/>
  <c r="R4" i="7"/>
  <c r="R16" i="7"/>
  <c r="R17" i="7"/>
  <c r="Q16" i="7"/>
  <c r="Q17" i="7"/>
  <c r="Q14" i="7"/>
  <c r="Q15" i="7"/>
  <c r="Q18" i="7"/>
  <c r="Q20" i="7"/>
  <c r="Q21" i="7"/>
  <c r="Q23" i="7"/>
  <c r="O16" i="7"/>
  <c r="O17" i="7"/>
  <c r="N4" i="7"/>
  <c r="N16" i="7"/>
  <c r="N17" i="7"/>
  <c r="M16" i="7"/>
  <c r="M17" i="7"/>
  <c r="K16" i="7"/>
  <c r="K17" i="7"/>
  <c r="I16" i="7"/>
  <c r="I17" i="7"/>
  <c r="G16" i="7"/>
  <c r="G17" i="7"/>
  <c r="C16" i="7"/>
  <c r="F16" i="7"/>
  <c r="F17" i="7"/>
  <c r="C17" i="7"/>
  <c r="M14" i="7"/>
  <c r="M15" i="7"/>
  <c r="M18" i="7"/>
  <c r="M20" i="7"/>
  <c r="M21" i="7"/>
  <c r="M23" i="7"/>
  <c r="K14" i="7"/>
  <c r="K15" i="7"/>
  <c r="K18" i="7"/>
  <c r="K20" i="7"/>
  <c r="K21" i="7"/>
  <c r="K23" i="7"/>
  <c r="I14" i="7"/>
  <c r="I15" i="7"/>
  <c r="R2" i="7"/>
  <c r="R14" i="7"/>
  <c r="R15" i="7"/>
  <c r="R18" i="7"/>
  <c r="R20" i="7"/>
  <c r="R21" i="7"/>
  <c r="R23" i="7"/>
  <c r="P14" i="7"/>
  <c r="P15" i="7"/>
  <c r="P18" i="7"/>
  <c r="P20" i="7"/>
  <c r="P21" i="7"/>
  <c r="P23" i="7"/>
  <c r="O14" i="7"/>
  <c r="O15" i="7"/>
  <c r="O18" i="7"/>
  <c r="O20" i="7"/>
  <c r="O21" i="7"/>
  <c r="O23" i="7"/>
  <c r="N2" i="7"/>
  <c r="N14" i="7"/>
  <c r="N15" i="7"/>
  <c r="N18" i="7"/>
  <c r="H14" i="7"/>
  <c r="H15" i="7"/>
  <c r="H18" i="7"/>
  <c r="H20" i="7"/>
  <c r="H21" i="7"/>
  <c r="H23" i="7"/>
  <c r="G14" i="7"/>
  <c r="D14" i="7"/>
  <c r="D15" i="7"/>
  <c r="D18" i="7"/>
  <c r="D20" i="7"/>
  <c r="D21" i="7"/>
  <c r="D23" i="7"/>
  <c r="S13" i="7"/>
  <c r="R11" i="7"/>
  <c r="J11" i="7"/>
  <c r="F11" i="7"/>
  <c r="K3" i="7"/>
  <c r="K5" i="7"/>
  <c r="K6" i="7"/>
  <c r="K8" i="7"/>
  <c r="K10" i="7"/>
  <c r="Q3" i="7"/>
  <c r="Q5" i="7"/>
  <c r="Q6" i="7"/>
  <c r="Q8" i="7"/>
  <c r="Q9" i="7"/>
  <c r="Q10" i="7"/>
  <c r="Q12" i="7"/>
  <c r="G3" i="7"/>
  <c r="G5" i="7"/>
  <c r="G6" i="7"/>
  <c r="G8" i="7"/>
  <c r="G9" i="7"/>
  <c r="G10" i="7"/>
  <c r="J7" i="7"/>
  <c r="F7" i="7"/>
  <c r="O3" i="7"/>
  <c r="O5" i="7"/>
  <c r="O6" i="7"/>
  <c r="O8" i="7"/>
  <c r="K9" i="7"/>
  <c r="D3" i="7"/>
  <c r="D5" i="7"/>
  <c r="D6" i="7"/>
  <c r="D8" i="7"/>
  <c r="P5" i="7"/>
  <c r="P3" i="7"/>
  <c r="P6" i="7"/>
  <c r="P8" i="7"/>
  <c r="N5" i="7"/>
  <c r="M5" i="7"/>
  <c r="L5" i="7"/>
  <c r="I5" i="7"/>
  <c r="H5" i="7"/>
  <c r="F4" i="7"/>
  <c r="F5" i="7"/>
  <c r="E5" i="7"/>
  <c r="C5" i="7"/>
  <c r="R5" i="7"/>
  <c r="J4" i="7"/>
  <c r="J5" i="7"/>
  <c r="R3" i="7"/>
  <c r="R6" i="7"/>
  <c r="R8" i="7"/>
  <c r="R9" i="7"/>
  <c r="N3" i="7"/>
  <c r="N6" i="7"/>
  <c r="N8" i="7"/>
  <c r="M3" i="7"/>
  <c r="M6" i="7"/>
  <c r="M8" i="7"/>
  <c r="L3" i="7"/>
  <c r="I3" i="7"/>
  <c r="I6" i="7"/>
  <c r="I8" i="7"/>
  <c r="H3" i="7"/>
  <c r="H6" i="7"/>
  <c r="H8" i="7"/>
  <c r="C2" i="7"/>
  <c r="C3" i="7"/>
  <c r="C6" i="7"/>
  <c r="C8" i="7"/>
  <c r="J2" i="7"/>
  <c r="J3" i="7"/>
  <c r="J6" i="7"/>
  <c r="F2" i="7"/>
  <c r="F3" i="7"/>
  <c r="F6" i="7"/>
  <c r="F8" i="7"/>
  <c r="Q29" i="6"/>
  <c r="Q30" i="6"/>
  <c r="Q32" i="6"/>
  <c r="L29" i="6"/>
  <c r="L30" i="6"/>
  <c r="L32" i="6"/>
  <c r="C2" i="6"/>
  <c r="C29" i="6"/>
  <c r="C30" i="6"/>
  <c r="C32" i="6"/>
  <c r="M29" i="6"/>
  <c r="M30" i="6"/>
  <c r="M32" i="6"/>
  <c r="H29" i="6"/>
  <c r="H30" i="6"/>
  <c r="H32" i="6"/>
  <c r="P29" i="6"/>
  <c r="P30" i="6"/>
  <c r="P32" i="6"/>
  <c r="O29" i="6"/>
  <c r="O30" i="6"/>
  <c r="O32" i="6"/>
  <c r="K29" i="6"/>
  <c r="K30" i="6"/>
  <c r="K32" i="6"/>
  <c r="I29" i="6"/>
  <c r="I30" i="6"/>
  <c r="I32" i="6"/>
  <c r="C25" i="6"/>
  <c r="C26" i="6"/>
  <c r="C28" i="6"/>
  <c r="Q25" i="6"/>
  <c r="Q26" i="6"/>
  <c r="Q28" i="6"/>
  <c r="H25" i="6"/>
  <c r="H26" i="6"/>
  <c r="H28" i="6"/>
  <c r="G2" i="6"/>
  <c r="G25" i="6"/>
  <c r="G26" i="6"/>
  <c r="G28" i="6"/>
  <c r="P25" i="6"/>
  <c r="P26" i="6"/>
  <c r="P28" i="6"/>
  <c r="O25" i="6"/>
  <c r="O26" i="6"/>
  <c r="O28" i="6"/>
  <c r="M25" i="6"/>
  <c r="M26" i="6"/>
  <c r="M28" i="6"/>
  <c r="L25" i="6"/>
  <c r="L26" i="6"/>
  <c r="L28" i="6"/>
  <c r="K25" i="6"/>
  <c r="K26" i="6"/>
  <c r="K28" i="6"/>
  <c r="I25" i="6"/>
  <c r="I26" i="6"/>
  <c r="I28" i="6"/>
  <c r="S24" i="6"/>
  <c r="M14" i="6"/>
  <c r="M15" i="6"/>
  <c r="M16" i="6"/>
  <c r="M17" i="6"/>
  <c r="M18" i="6"/>
  <c r="M19" i="6"/>
  <c r="M20" i="6"/>
  <c r="M21" i="6"/>
  <c r="M23" i="6"/>
  <c r="L14" i="6"/>
  <c r="L15" i="6"/>
  <c r="L16" i="6"/>
  <c r="L17" i="6"/>
  <c r="L18" i="6"/>
  <c r="L20" i="6"/>
  <c r="L21" i="6"/>
  <c r="L23" i="6"/>
  <c r="J22" i="6"/>
  <c r="F22" i="6"/>
  <c r="O14" i="6"/>
  <c r="O15" i="6"/>
  <c r="O16" i="6"/>
  <c r="O17" i="6"/>
  <c r="O18" i="6"/>
  <c r="O19" i="6"/>
  <c r="O20" i="6"/>
  <c r="O21" i="6"/>
  <c r="O23" i="6"/>
  <c r="R7" i="6"/>
  <c r="R19" i="6"/>
  <c r="Q19" i="6"/>
  <c r="P19" i="6"/>
  <c r="N19" i="6"/>
  <c r="I19" i="6"/>
  <c r="H19" i="6"/>
  <c r="G19" i="6"/>
  <c r="J19" i="6"/>
  <c r="E19" i="6"/>
  <c r="D19" i="6"/>
  <c r="C19" i="6"/>
  <c r="I14" i="6"/>
  <c r="I15" i="6"/>
  <c r="I16" i="6"/>
  <c r="I17" i="6"/>
  <c r="I18" i="6"/>
  <c r="I20" i="6"/>
  <c r="I21" i="6"/>
  <c r="I23" i="6"/>
  <c r="H16" i="6"/>
  <c r="H17" i="6"/>
  <c r="H14" i="6"/>
  <c r="H15" i="6"/>
  <c r="H18" i="6"/>
  <c r="H20" i="6"/>
  <c r="H21" i="6"/>
  <c r="H23" i="6"/>
  <c r="D16" i="6"/>
  <c r="D17" i="6"/>
  <c r="Q16" i="6"/>
  <c r="Q17" i="6"/>
  <c r="P16" i="6"/>
  <c r="P17" i="6"/>
  <c r="K16" i="6"/>
  <c r="K17" i="6"/>
  <c r="G16" i="6"/>
  <c r="J16" i="6"/>
  <c r="J17" i="6"/>
  <c r="G17" i="6"/>
  <c r="E16" i="6"/>
  <c r="E17" i="6"/>
  <c r="C16" i="6"/>
  <c r="C17" i="6"/>
  <c r="Q14" i="6"/>
  <c r="Q15" i="6"/>
  <c r="Q18" i="6"/>
  <c r="Q20" i="6"/>
  <c r="Q21" i="6"/>
  <c r="Q23" i="6"/>
  <c r="P14" i="6"/>
  <c r="P15" i="6"/>
  <c r="P18" i="6"/>
  <c r="P20" i="6"/>
  <c r="P21" i="6"/>
  <c r="P23" i="6"/>
  <c r="K14" i="6"/>
  <c r="K15" i="6"/>
  <c r="S13" i="6"/>
  <c r="R11" i="6"/>
  <c r="J11" i="6"/>
  <c r="F11" i="6"/>
  <c r="I3" i="6"/>
  <c r="I5" i="6"/>
  <c r="I6" i="6"/>
  <c r="I8" i="6"/>
  <c r="I10" i="6"/>
  <c r="J7" i="6"/>
  <c r="F7" i="6"/>
  <c r="M3" i="6"/>
  <c r="M5" i="6"/>
  <c r="M6" i="6"/>
  <c r="M8" i="6"/>
  <c r="L3" i="6"/>
  <c r="L5" i="6"/>
  <c r="L6" i="6"/>
  <c r="L8" i="6"/>
  <c r="Q5" i="6"/>
  <c r="P5" i="6"/>
  <c r="O5" i="6"/>
  <c r="K5" i="6"/>
  <c r="H5" i="6"/>
  <c r="G5" i="6"/>
  <c r="E5" i="6"/>
  <c r="D5" i="6"/>
  <c r="C5" i="6"/>
  <c r="R4" i="6"/>
  <c r="R16" i="6"/>
  <c r="R17" i="6"/>
  <c r="N4" i="6"/>
  <c r="J4" i="6"/>
  <c r="J5" i="6"/>
  <c r="F4" i="6"/>
  <c r="F5" i="6"/>
  <c r="Q3" i="6"/>
  <c r="Q6" i="6"/>
  <c r="Q8" i="6"/>
  <c r="P3" i="6"/>
  <c r="P6" i="6"/>
  <c r="P8" i="6"/>
  <c r="O3" i="6"/>
  <c r="O6" i="6"/>
  <c r="O8" i="6"/>
  <c r="K3" i="6"/>
  <c r="K6" i="6"/>
  <c r="K8" i="6"/>
  <c r="H3" i="6"/>
  <c r="H6" i="6"/>
  <c r="H8" i="6"/>
  <c r="R2" i="6"/>
  <c r="R14" i="6"/>
  <c r="R15" i="6"/>
  <c r="R18" i="6"/>
  <c r="R20" i="6"/>
  <c r="R21" i="6"/>
  <c r="R23" i="6"/>
  <c r="N2" i="6"/>
  <c r="J2" i="6"/>
  <c r="J3" i="6"/>
  <c r="G14" i="6"/>
  <c r="E2" i="6"/>
  <c r="D2" i="6"/>
  <c r="C14" i="6"/>
  <c r="N31" i="5"/>
  <c r="N32" i="5"/>
  <c r="N34" i="5"/>
  <c r="F31" i="5"/>
  <c r="F32" i="5"/>
  <c r="F34" i="5"/>
  <c r="C31" i="5"/>
  <c r="C32" i="5"/>
  <c r="C34" i="5"/>
  <c r="J31" i="5"/>
  <c r="J32" i="5"/>
  <c r="J34" i="5"/>
  <c r="G31" i="5"/>
  <c r="G32" i="5"/>
  <c r="G34" i="5"/>
  <c r="M31" i="5"/>
  <c r="M32" i="5"/>
  <c r="M34" i="5"/>
  <c r="L31" i="5"/>
  <c r="L32" i="5"/>
  <c r="L34" i="5"/>
  <c r="K31" i="5"/>
  <c r="K32" i="5"/>
  <c r="K34" i="5"/>
  <c r="I31" i="5"/>
  <c r="I32" i="5"/>
  <c r="I34" i="5"/>
  <c r="H31" i="5"/>
  <c r="H32" i="5"/>
  <c r="H34" i="5"/>
  <c r="D31" i="5"/>
  <c r="D32" i="5"/>
  <c r="D34" i="5"/>
  <c r="M27" i="5"/>
  <c r="M28" i="5"/>
  <c r="M30" i="5"/>
  <c r="L27" i="5"/>
  <c r="L28" i="5"/>
  <c r="L30" i="5"/>
  <c r="D27" i="5"/>
  <c r="D28" i="5"/>
  <c r="D30" i="5"/>
  <c r="H27" i="5"/>
  <c r="H28" i="5"/>
  <c r="H30" i="5"/>
  <c r="N27" i="5"/>
  <c r="N28" i="5"/>
  <c r="N30" i="5"/>
  <c r="K27" i="5"/>
  <c r="K28" i="5"/>
  <c r="K30" i="5"/>
  <c r="J27" i="5"/>
  <c r="J28" i="5"/>
  <c r="J30" i="5"/>
  <c r="I27" i="5"/>
  <c r="I28" i="5"/>
  <c r="I30" i="5"/>
  <c r="G27" i="5"/>
  <c r="G28" i="5"/>
  <c r="G30" i="5"/>
  <c r="F27" i="5"/>
  <c r="F28" i="5"/>
  <c r="F30" i="5"/>
  <c r="C27" i="5"/>
  <c r="C28" i="5"/>
  <c r="C30" i="5"/>
  <c r="N22" i="5"/>
  <c r="M22" i="5"/>
  <c r="L22" i="5"/>
  <c r="K22" i="5"/>
  <c r="J19" i="5"/>
  <c r="J20" i="5"/>
  <c r="G19" i="5"/>
  <c r="G20" i="5"/>
  <c r="F19" i="5"/>
  <c r="F20" i="5"/>
  <c r="N19" i="5"/>
  <c r="N20" i="5"/>
  <c r="M19" i="5"/>
  <c r="M20" i="5"/>
  <c r="L19" i="5"/>
  <c r="L20" i="5"/>
  <c r="K19" i="5"/>
  <c r="K20" i="5"/>
  <c r="I19" i="5"/>
  <c r="I20" i="5"/>
  <c r="H19" i="5"/>
  <c r="H20" i="5"/>
  <c r="E19" i="5"/>
  <c r="E20" i="5"/>
  <c r="D19" i="5"/>
  <c r="D20" i="5"/>
  <c r="C19" i="5"/>
  <c r="C20" i="5"/>
  <c r="K17" i="5"/>
  <c r="K18" i="5"/>
  <c r="K21" i="5"/>
  <c r="K23" i="5"/>
  <c r="K24" i="5"/>
  <c r="K26" i="5"/>
  <c r="J17" i="5"/>
  <c r="J18" i="5"/>
  <c r="J21" i="5"/>
  <c r="J23" i="5"/>
  <c r="J24" i="5"/>
  <c r="J26" i="5"/>
  <c r="F17" i="5"/>
  <c r="F18" i="5"/>
  <c r="N17" i="5"/>
  <c r="N18" i="5"/>
  <c r="M17" i="5"/>
  <c r="M18" i="5"/>
  <c r="L17" i="5"/>
  <c r="L18" i="5"/>
  <c r="L21" i="5"/>
  <c r="L23" i="5"/>
  <c r="L24" i="5"/>
  <c r="L26" i="5"/>
  <c r="I17" i="5"/>
  <c r="I18" i="5"/>
  <c r="H17" i="5"/>
  <c r="H18" i="5"/>
  <c r="H21" i="5"/>
  <c r="H23" i="5"/>
  <c r="H24" i="5"/>
  <c r="H26" i="5"/>
  <c r="G17" i="5"/>
  <c r="G18" i="5"/>
  <c r="D17" i="5"/>
  <c r="D18" i="5"/>
  <c r="C17" i="5"/>
  <c r="C18" i="5"/>
  <c r="C21" i="5"/>
  <c r="C23" i="5"/>
  <c r="C24" i="5"/>
  <c r="C26" i="5"/>
  <c r="P14" i="5"/>
  <c r="P16" i="5"/>
  <c r="O14" i="5"/>
  <c r="O16" i="5"/>
  <c r="N3" i="5"/>
  <c r="N5" i="5"/>
  <c r="N6" i="5"/>
  <c r="N12" i="5"/>
  <c r="N14" i="5"/>
  <c r="N13" i="5"/>
  <c r="N16" i="5"/>
  <c r="G3" i="5"/>
  <c r="G5" i="5"/>
  <c r="G6" i="5"/>
  <c r="G12" i="5"/>
  <c r="K3" i="5"/>
  <c r="K5" i="5"/>
  <c r="K6" i="5"/>
  <c r="K12" i="5"/>
  <c r="J3" i="5"/>
  <c r="J5" i="5"/>
  <c r="J6" i="5"/>
  <c r="J12" i="5"/>
  <c r="F3" i="5"/>
  <c r="F5" i="5"/>
  <c r="F6" i="5"/>
  <c r="F12" i="5"/>
  <c r="M5" i="5"/>
  <c r="L5" i="5"/>
  <c r="I5" i="5"/>
  <c r="H5" i="5"/>
  <c r="E5" i="5"/>
  <c r="D5" i="5"/>
  <c r="C5" i="5"/>
  <c r="M3" i="5"/>
  <c r="M6" i="5"/>
  <c r="M12" i="5"/>
  <c r="L3" i="5"/>
  <c r="L6" i="5"/>
  <c r="L12" i="5"/>
  <c r="I3" i="5"/>
  <c r="I6" i="5"/>
  <c r="I12" i="5"/>
  <c r="H3" i="5"/>
  <c r="H6" i="5"/>
  <c r="H12" i="5"/>
  <c r="D3" i="5"/>
  <c r="D6" i="5"/>
  <c r="D12" i="5"/>
  <c r="C3" i="5"/>
  <c r="C6" i="5"/>
  <c r="C12" i="5"/>
  <c r="C14" i="5"/>
  <c r="E2" i="5"/>
  <c r="G19" i="4"/>
  <c r="F18" i="4"/>
  <c r="G18" i="4"/>
  <c r="B18" i="4"/>
  <c r="C18" i="4"/>
  <c r="B17" i="4"/>
  <c r="C17" i="4"/>
  <c r="C19" i="4"/>
  <c r="C21" i="4"/>
  <c r="C22" i="4"/>
  <c r="C24" i="4"/>
  <c r="C4" i="4"/>
  <c r="C5" i="4"/>
  <c r="C6" i="4"/>
  <c r="C8" i="4"/>
  <c r="G5" i="4"/>
  <c r="F4" i="4"/>
  <c r="G4" i="4"/>
  <c r="G6" i="4"/>
  <c r="G8" i="4"/>
  <c r="G10" i="4"/>
  <c r="G92" i="3"/>
  <c r="G78" i="3"/>
  <c r="D67" i="1"/>
  <c r="B67" i="3"/>
  <c r="D63" i="1"/>
  <c r="D63" i="2"/>
  <c r="B63" i="3"/>
  <c r="D61" i="1"/>
  <c r="D61" i="2"/>
  <c r="B61" i="3"/>
  <c r="D59" i="1"/>
  <c r="D59" i="2"/>
  <c r="B59" i="3"/>
  <c r="D47" i="1"/>
  <c r="D47" i="2"/>
  <c r="B47" i="3"/>
  <c r="D39" i="1"/>
  <c r="D39" i="2"/>
  <c r="B39" i="3"/>
  <c r="D30" i="1"/>
  <c r="D30" i="2"/>
  <c r="B30" i="3"/>
  <c r="D16" i="1"/>
  <c r="D16" i="2"/>
  <c r="B16" i="3"/>
  <c r="D7" i="1"/>
  <c r="D7" i="2"/>
  <c r="B7" i="3"/>
  <c r="B66" i="2"/>
  <c r="B70" i="2"/>
  <c r="D69" i="2"/>
  <c r="D68" i="2"/>
  <c r="C66" i="2"/>
  <c r="D65" i="2"/>
  <c r="D64" i="2"/>
  <c r="D64" i="1"/>
  <c r="B64" i="3"/>
  <c r="D62" i="2"/>
  <c r="D60" i="2"/>
  <c r="D60" i="1"/>
  <c r="B60" i="3"/>
  <c r="D58" i="2"/>
  <c r="D57" i="2"/>
  <c r="D56" i="2"/>
  <c r="D56" i="1"/>
  <c r="B56" i="3"/>
  <c r="D55" i="2"/>
  <c r="D54" i="2"/>
  <c r="D53" i="2"/>
  <c r="D52" i="2"/>
  <c r="D52" i="1"/>
  <c r="B52" i="3"/>
  <c r="D51" i="2"/>
  <c r="D51" i="1"/>
  <c r="B51" i="3"/>
  <c r="D50" i="2"/>
  <c r="D49" i="2"/>
  <c r="D48" i="2"/>
  <c r="D48" i="1"/>
  <c r="B48" i="3"/>
  <c r="D46" i="2"/>
  <c r="D45" i="2"/>
  <c r="D44" i="2"/>
  <c r="D44" i="1"/>
  <c r="B44" i="3"/>
  <c r="D43" i="2"/>
  <c r="D43" i="1"/>
  <c r="B43" i="3"/>
  <c r="D42" i="2"/>
  <c r="D41" i="2"/>
  <c r="D40" i="2"/>
  <c r="D40" i="1"/>
  <c r="B40" i="3"/>
  <c r="D38" i="2"/>
  <c r="D37" i="2"/>
  <c r="D36" i="2"/>
  <c r="D36" i="1"/>
  <c r="B36" i="3"/>
  <c r="D35" i="2"/>
  <c r="D35" i="1"/>
  <c r="B35" i="3"/>
  <c r="D34" i="2"/>
  <c r="D33" i="2"/>
  <c r="D32" i="2"/>
  <c r="D31" i="2"/>
  <c r="D29" i="2"/>
  <c r="D28" i="2"/>
  <c r="D27" i="2"/>
  <c r="D26" i="2"/>
  <c r="D25" i="2"/>
  <c r="D24" i="2"/>
  <c r="D24" i="1"/>
  <c r="B24" i="3"/>
  <c r="D23" i="2"/>
  <c r="D22" i="2"/>
  <c r="D21" i="2"/>
  <c r="D20" i="2"/>
  <c r="D20" i="1"/>
  <c r="B20" i="3"/>
  <c r="D19" i="2"/>
  <c r="D18" i="2"/>
  <c r="D17" i="2"/>
  <c r="D15" i="2"/>
  <c r="D14" i="2"/>
  <c r="D13" i="2"/>
  <c r="D12" i="2"/>
  <c r="D12" i="1"/>
  <c r="B12" i="3"/>
  <c r="D11" i="2"/>
  <c r="D10" i="2"/>
  <c r="D9" i="2"/>
  <c r="D8" i="2"/>
  <c r="D6" i="2"/>
  <c r="D66" i="2"/>
  <c r="D70" i="2"/>
  <c r="C66" i="1"/>
  <c r="C72" i="1"/>
  <c r="B66" i="1"/>
  <c r="B72" i="1"/>
  <c r="D71" i="1"/>
  <c r="B71" i="3"/>
  <c r="D70" i="1"/>
  <c r="B70" i="3"/>
  <c r="D69" i="1"/>
  <c r="B69" i="3"/>
  <c r="D68" i="1"/>
  <c r="B68" i="3"/>
  <c r="D65" i="1"/>
  <c r="B65" i="3"/>
  <c r="D62" i="1"/>
  <c r="B62" i="3"/>
  <c r="D58" i="1"/>
  <c r="B58" i="3"/>
  <c r="D57" i="1"/>
  <c r="B57" i="3"/>
  <c r="D55" i="1"/>
  <c r="B55" i="3"/>
  <c r="D54" i="1"/>
  <c r="B54" i="3"/>
  <c r="D53" i="1"/>
  <c r="B53" i="3"/>
  <c r="D50" i="1"/>
  <c r="B50" i="3"/>
  <c r="D49" i="1"/>
  <c r="B49" i="3"/>
  <c r="D46" i="1"/>
  <c r="B46" i="3"/>
  <c r="D45" i="1"/>
  <c r="B45" i="3"/>
  <c r="D42" i="1"/>
  <c r="B42" i="3"/>
  <c r="D41" i="1"/>
  <c r="D38" i="1"/>
  <c r="B38" i="3"/>
  <c r="D37" i="1"/>
  <c r="B37" i="3"/>
  <c r="D34" i="1"/>
  <c r="D33" i="1"/>
  <c r="B33" i="3"/>
  <c r="D32" i="1"/>
  <c r="D31" i="1"/>
  <c r="B31" i="3"/>
  <c r="D29" i="1"/>
  <c r="B29" i="3"/>
  <c r="D28" i="1"/>
  <c r="D27" i="1"/>
  <c r="D26" i="1"/>
  <c r="B26" i="3"/>
  <c r="D25" i="1"/>
  <c r="B25" i="3"/>
  <c r="D23" i="1"/>
  <c r="D22" i="1"/>
  <c r="B22" i="3"/>
  <c r="D21" i="1"/>
  <c r="B21" i="3"/>
  <c r="D19" i="1"/>
  <c r="D18" i="1"/>
  <c r="B18" i="3"/>
  <c r="D17" i="1"/>
  <c r="B17" i="3"/>
  <c r="D15" i="1"/>
  <c r="D14" i="1"/>
  <c r="B14" i="3"/>
  <c r="D13" i="1"/>
  <c r="B13" i="3"/>
  <c r="D11" i="1"/>
  <c r="D10" i="1"/>
  <c r="B10" i="3"/>
  <c r="D9" i="1"/>
  <c r="B9" i="3"/>
  <c r="D8" i="1"/>
  <c r="D6" i="1"/>
  <c r="C9" i="4"/>
  <c r="C10" i="4"/>
  <c r="J14" i="5"/>
  <c r="J13" i="5"/>
  <c r="J16" i="5"/>
  <c r="D29" i="6"/>
  <c r="D30" i="6"/>
  <c r="D32" i="6"/>
  <c r="D25" i="6"/>
  <c r="D26" i="6"/>
  <c r="D28" i="6"/>
  <c r="D3" i="6"/>
  <c r="D6" i="6"/>
  <c r="D8" i="6"/>
  <c r="N14" i="6"/>
  <c r="N15" i="6"/>
  <c r="N16" i="6"/>
  <c r="N17" i="6"/>
  <c r="N18" i="6"/>
  <c r="N20" i="6"/>
  <c r="N21" i="6"/>
  <c r="N23" i="6"/>
  <c r="N3" i="6"/>
  <c r="N5" i="6"/>
  <c r="N6" i="6"/>
  <c r="N8" i="6"/>
  <c r="P10" i="6"/>
  <c r="P9" i="6"/>
  <c r="P12" i="6"/>
  <c r="B6" i="3"/>
  <c r="D66" i="1"/>
  <c r="D72" i="1"/>
  <c r="B72" i="3"/>
  <c r="G13" i="5"/>
  <c r="G14" i="5"/>
  <c r="Q9" i="6"/>
  <c r="Q10" i="6"/>
  <c r="D14" i="6"/>
  <c r="D15" i="6"/>
  <c r="D18" i="6"/>
  <c r="D20" i="6"/>
  <c r="D21" i="6"/>
  <c r="D23" i="6"/>
  <c r="B91" i="3"/>
  <c r="C91" i="3"/>
  <c r="B78" i="3"/>
  <c r="C78" i="3"/>
  <c r="F13" i="5"/>
  <c r="F14" i="5"/>
  <c r="H14" i="5"/>
  <c r="H13" i="5"/>
  <c r="L14" i="5"/>
  <c r="L13" i="5"/>
  <c r="L16" i="5"/>
  <c r="E25" i="6"/>
  <c r="E26" i="6"/>
  <c r="E28" i="6"/>
  <c r="E29" i="6"/>
  <c r="E30" i="6"/>
  <c r="E32" i="6"/>
  <c r="E3" i="6"/>
  <c r="E6" i="6"/>
  <c r="E8" i="6"/>
  <c r="E14" i="6"/>
  <c r="E15" i="6"/>
  <c r="E18" i="6"/>
  <c r="E20" i="6"/>
  <c r="E21" i="6"/>
  <c r="E23" i="6"/>
  <c r="K14" i="5"/>
  <c r="K13" i="5"/>
  <c r="K16" i="5"/>
  <c r="C13" i="5"/>
  <c r="C16" i="5"/>
  <c r="N21" i="5"/>
  <c r="N23" i="5"/>
  <c r="N24" i="5"/>
  <c r="N26" i="5"/>
  <c r="L10" i="6"/>
  <c r="L9" i="6"/>
  <c r="L12" i="6"/>
  <c r="F10" i="7"/>
  <c r="F9" i="7"/>
  <c r="F12" i="7"/>
  <c r="B32" i="3"/>
  <c r="F21" i="5"/>
  <c r="F23" i="5"/>
  <c r="F24" i="5"/>
  <c r="F26" i="5"/>
  <c r="M10" i="6"/>
  <c r="M9" i="6"/>
  <c r="M12" i="6"/>
  <c r="K18" i="6"/>
  <c r="K20" i="6"/>
  <c r="K21" i="6"/>
  <c r="K23" i="6"/>
  <c r="J8" i="7"/>
  <c r="P10" i="7"/>
  <c r="P9" i="7"/>
  <c r="P12" i="7"/>
  <c r="K12" i="7"/>
  <c r="H10" i="6"/>
  <c r="H9" i="6"/>
  <c r="I9" i="6"/>
  <c r="I12" i="6"/>
  <c r="H10" i="7"/>
  <c r="H9" i="7"/>
  <c r="H12" i="7"/>
  <c r="M10" i="7"/>
  <c r="M9" i="7"/>
  <c r="M12" i="7"/>
  <c r="D10" i="7"/>
  <c r="D9" i="7"/>
  <c r="D12" i="7"/>
  <c r="O10" i="7"/>
  <c r="R10" i="7"/>
  <c r="R12" i="7"/>
  <c r="O9" i="7"/>
  <c r="O12" i="7"/>
  <c r="G12" i="7"/>
  <c r="B11" i="3"/>
  <c r="B15" i="3"/>
  <c r="B19" i="3"/>
  <c r="B23" i="3"/>
  <c r="B27" i="3"/>
  <c r="G20" i="4"/>
  <c r="G22" i="4"/>
  <c r="G24" i="4"/>
  <c r="E31" i="5"/>
  <c r="E32" i="5"/>
  <c r="E34" i="5"/>
  <c r="E17" i="5"/>
  <c r="E18" i="5"/>
  <c r="E21" i="5"/>
  <c r="E23" i="5"/>
  <c r="E24" i="5"/>
  <c r="E26" i="5"/>
  <c r="E3" i="5"/>
  <c r="E6" i="5"/>
  <c r="E12" i="5"/>
  <c r="G21" i="5"/>
  <c r="G23" i="5"/>
  <c r="G24" i="5"/>
  <c r="G26" i="5"/>
  <c r="E27" i="5"/>
  <c r="E28" i="5"/>
  <c r="E30" i="5"/>
  <c r="P30" i="5"/>
  <c r="P34" i="5"/>
  <c r="O34" i="5"/>
  <c r="O10" i="6"/>
  <c r="O9" i="6"/>
  <c r="O12" i="6"/>
  <c r="C10" i="7"/>
  <c r="C9" i="7"/>
  <c r="C12" i="7"/>
  <c r="I10" i="7"/>
  <c r="I9" i="7"/>
  <c r="I12" i="7"/>
  <c r="N10" i="7"/>
  <c r="N9" i="7"/>
  <c r="N12" i="7"/>
  <c r="J14" i="7"/>
  <c r="J15" i="7"/>
  <c r="G15" i="7"/>
  <c r="G18" i="7"/>
  <c r="O30" i="5"/>
  <c r="G15" i="6"/>
  <c r="G18" i="6"/>
  <c r="J14" i="6"/>
  <c r="J15" i="6"/>
  <c r="K10" i="6"/>
  <c r="K9" i="6"/>
  <c r="C29" i="7"/>
  <c r="C30" i="7"/>
  <c r="C32" i="7"/>
  <c r="C25" i="7"/>
  <c r="C26" i="7"/>
  <c r="C28" i="7"/>
  <c r="C14" i="7"/>
  <c r="D14" i="5"/>
  <c r="D13" i="5"/>
  <c r="D16" i="5"/>
  <c r="I14" i="5"/>
  <c r="I13" i="5"/>
  <c r="M14" i="5"/>
  <c r="M13" i="5"/>
  <c r="M16" i="5"/>
  <c r="D21" i="5"/>
  <c r="D23" i="5"/>
  <c r="D24" i="5"/>
  <c r="D26" i="5"/>
  <c r="I21" i="5"/>
  <c r="I23" i="5"/>
  <c r="I24" i="5"/>
  <c r="I26" i="5"/>
  <c r="M21" i="5"/>
  <c r="M23" i="5"/>
  <c r="M24" i="5"/>
  <c r="M26" i="5"/>
  <c r="P26" i="5"/>
  <c r="C15" i="6"/>
  <c r="C18" i="6"/>
  <c r="F14" i="6"/>
  <c r="F15" i="6"/>
  <c r="J6" i="6"/>
  <c r="J8" i="6"/>
  <c r="F16" i="6"/>
  <c r="F17" i="6"/>
  <c r="F19" i="6"/>
  <c r="L6" i="7"/>
  <c r="L8" i="7"/>
  <c r="N20" i="7"/>
  <c r="N21" i="7"/>
  <c r="N23" i="7"/>
  <c r="I18" i="7"/>
  <c r="I20" i="7"/>
  <c r="I21" i="7"/>
  <c r="I23" i="7"/>
  <c r="J16" i="7"/>
  <c r="J17" i="7"/>
  <c r="F2" i="6"/>
  <c r="F3" i="6"/>
  <c r="F6" i="6"/>
  <c r="F8" i="6"/>
  <c r="R3" i="6"/>
  <c r="R5" i="6"/>
  <c r="G29" i="6"/>
  <c r="G30" i="6"/>
  <c r="G32" i="6"/>
  <c r="C3" i="6"/>
  <c r="C6" i="6"/>
  <c r="C8" i="6"/>
  <c r="G3" i="6"/>
  <c r="G6" i="6"/>
  <c r="G8" i="6"/>
  <c r="E29" i="7"/>
  <c r="E30" i="7"/>
  <c r="E32" i="7"/>
  <c r="E14" i="7"/>
  <c r="E15" i="7"/>
  <c r="E18" i="7"/>
  <c r="E20" i="7"/>
  <c r="E21" i="7"/>
  <c r="E23" i="7"/>
  <c r="E3" i="7"/>
  <c r="E6" i="7"/>
  <c r="E8" i="7"/>
  <c r="D29" i="7"/>
  <c r="D30" i="7"/>
  <c r="D32" i="7"/>
  <c r="F9" i="6"/>
  <c r="F10" i="6"/>
  <c r="L9" i="7"/>
  <c r="L10" i="7"/>
  <c r="E14" i="5"/>
  <c r="E13" i="5"/>
  <c r="E16" i="5"/>
  <c r="J10" i="7"/>
  <c r="J9" i="7"/>
  <c r="J12" i="7"/>
  <c r="N10" i="6"/>
  <c r="N9" i="6"/>
  <c r="N12" i="6"/>
  <c r="G20" i="7"/>
  <c r="G21" i="7"/>
  <c r="G23" i="7"/>
  <c r="J18" i="7"/>
  <c r="J20" i="7"/>
  <c r="J21" i="7"/>
  <c r="J23" i="7"/>
  <c r="Q12" i="6"/>
  <c r="C15" i="7"/>
  <c r="C18" i="7"/>
  <c r="F14" i="7"/>
  <c r="F15" i="7"/>
  <c r="J18" i="6"/>
  <c r="J20" i="6"/>
  <c r="J21" i="6"/>
  <c r="J23" i="6"/>
  <c r="G20" i="6"/>
  <c r="G21" i="6"/>
  <c r="G23" i="6"/>
  <c r="E10" i="6"/>
  <c r="E9" i="6"/>
  <c r="F16" i="5"/>
  <c r="D10" i="6"/>
  <c r="D9" i="6"/>
  <c r="D12" i="6"/>
  <c r="O26" i="5"/>
  <c r="F91" i="3"/>
  <c r="G91" i="3"/>
  <c r="G93" i="3"/>
  <c r="G95" i="3"/>
  <c r="G97" i="3"/>
  <c r="B90" i="3"/>
  <c r="C90" i="3"/>
  <c r="C92" i="3"/>
  <c r="C94" i="3"/>
  <c r="C95" i="3"/>
  <c r="C97" i="3"/>
  <c r="F77" i="3"/>
  <c r="G77" i="3"/>
  <c r="G79" i="3"/>
  <c r="G81" i="3"/>
  <c r="G83" i="3"/>
  <c r="B77" i="3"/>
  <c r="C77" i="3"/>
  <c r="C79" i="3"/>
  <c r="C81" i="3"/>
  <c r="F18" i="6"/>
  <c r="F20" i="6"/>
  <c r="F21" i="6"/>
  <c r="F23" i="6"/>
  <c r="C20" i="6"/>
  <c r="C21" i="6"/>
  <c r="C23" i="6"/>
  <c r="B66" i="3"/>
  <c r="G10" i="6"/>
  <c r="G9" i="6"/>
  <c r="G12" i="6"/>
  <c r="E10" i="7"/>
  <c r="E9" i="7"/>
  <c r="E12" i="7"/>
  <c r="C10" i="6"/>
  <c r="C9" i="6"/>
  <c r="R6" i="6"/>
  <c r="R8" i="6"/>
  <c r="R9" i="6"/>
  <c r="R10" i="6"/>
  <c r="R12" i="6"/>
  <c r="J10" i="6"/>
  <c r="J9" i="6"/>
  <c r="J12" i="6"/>
  <c r="I16" i="5"/>
  <c r="K12" i="6"/>
  <c r="S12" i="7"/>
  <c r="S14" i="7"/>
  <c r="S16" i="7"/>
  <c r="H12" i="6"/>
  <c r="H16" i="5"/>
  <c r="G16" i="5"/>
  <c r="C12" i="4"/>
  <c r="C20" i="7"/>
  <c r="C21" i="7"/>
  <c r="C23" i="7"/>
  <c r="F18" i="7"/>
  <c r="F20" i="7"/>
  <c r="F21" i="7"/>
  <c r="F23" i="7"/>
  <c r="S23" i="7"/>
  <c r="F12" i="6"/>
  <c r="S12" i="6"/>
  <c r="S23" i="6"/>
  <c r="C12" i="6"/>
  <c r="C83" i="3"/>
  <c r="C82" i="3"/>
  <c r="E12" i="6"/>
  <c r="L12" i="7"/>
  <c r="C85" i="3"/>
  <c r="N24" i="8"/>
  <c r="N11" i="8"/>
  <c r="N13" i="8"/>
  <c r="R29" i="8"/>
  <c r="E27" i="8"/>
  <c r="F29" i="8"/>
  <c r="I24" i="8"/>
  <c r="F22" i="8"/>
  <c r="D24" i="8"/>
  <c r="D27" i="8"/>
  <c r="F25" i="8"/>
  <c r="F21" i="8"/>
  <c r="F27" i="8"/>
  <c r="E28" i="8"/>
  <c r="E30" i="8"/>
  <c r="E31" i="8"/>
  <c r="E33" i="8"/>
  <c r="D28" i="8"/>
  <c r="D30" i="8"/>
  <c r="D31" i="8"/>
  <c r="D33" i="8"/>
  <c r="D11" i="8"/>
  <c r="D13" i="8"/>
  <c r="D14" i="8"/>
  <c r="C28" i="8"/>
  <c r="C30" i="8"/>
  <c r="C31" i="8"/>
  <c r="C33" i="8"/>
  <c r="C11" i="8"/>
  <c r="C13" i="8"/>
  <c r="C14" i="8"/>
  <c r="E14" i="8"/>
  <c r="E15" i="8"/>
  <c r="F19" i="8"/>
  <c r="K27" i="8"/>
  <c r="J11" i="8"/>
  <c r="J13" i="8"/>
  <c r="J15" i="8"/>
  <c r="L26" i="8"/>
  <c r="L27" i="8"/>
  <c r="I27" i="8"/>
  <c r="I28" i="8"/>
  <c r="I30" i="8"/>
  <c r="I31" i="8"/>
  <c r="I33" i="8"/>
  <c r="L10" i="8"/>
  <c r="K28" i="8"/>
  <c r="K30" i="8"/>
  <c r="K31" i="8"/>
  <c r="K33" i="8"/>
  <c r="J27" i="8"/>
  <c r="J28" i="8"/>
  <c r="J30" i="8"/>
  <c r="J31" i="8"/>
  <c r="J33" i="8"/>
  <c r="I11" i="8"/>
  <c r="I13" i="8"/>
  <c r="I15" i="8"/>
  <c r="L22" i="8"/>
  <c r="L7" i="8"/>
  <c r="L11" i="8"/>
  <c r="L13" i="8"/>
  <c r="L14" i="8"/>
  <c r="L21" i="8"/>
  <c r="K14" i="8"/>
  <c r="K15" i="8"/>
  <c r="L19" i="8"/>
  <c r="L24" i="8"/>
  <c r="I14" i="8"/>
  <c r="P29" i="8"/>
  <c r="P10" i="8"/>
  <c r="N28" i="8"/>
  <c r="N30" i="8"/>
  <c r="N31" i="8"/>
  <c r="N33" i="8"/>
  <c r="P26" i="8"/>
  <c r="P27" i="8"/>
  <c r="O28" i="8"/>
  <c r="O30" i="8"/>
  <c r="O31" i="8"/>
  <c r="O33" i="8"/>
  <c r="P7" i="8"/>
  <c r="P11" i="8"/>
  <c r="P13" i="8"/>
  <c r="P14" i="8"/>
  <c r="P21" i="8"/>
  <c r="P24" i="8"/>
  <c r="P28" i="8"/>
  <c r="O14" i="8"/>
  <c r="O15" i="8"/>
  <c r="N14" i="8"/>
  <c r="N15" i="8"/>
  <c r="M14" i="8"/>
  <c r="M15" i="8"/>
  <c r="M24" i="8"/>
  <c r="M28" i="8"/>
  <c r="M30" i="8"/>
  <c r="M31" i="8"/>
  <c r="M33" i="8"/>
  <c r="T29" i="8"/>
  <c r="T26" i="8"/>
  <c r="T27" i="8"/>
  <c r="R39" i="8"/>
  <c r="R40" i="8"/>
  <c r="R42" i="8"/>
  <c r="T10" i="8"/>
  <c r="T7" i="8"/>
  <c r="T11" i="8"/>
  <c r="T13" i="8"/>
  <c r="T14" i="8"/>
  <c r="R24" i="8"/>
  <c r="T22" i="8"/>
  <c r="Q15" i="8"/>
  <c r="Q14" i="8"/>
  <c r="S27" i="8"/>
  <c r="S14" i="8"/>
  <c r="S15" i="8"/>
  <c r="T21" i="8"/>
  <c r="S24" i="8"/>
  <c r="S28" i="8"/>
  <c r="S30" i="8"/>
  <c r="S31" i="8"/>
  <c r="S33" i="8"/>
  <c r="T19" i="8"/>
  <c r="R28" i="8"/>
  <c r="R30" i="8"/>
  <c r="R31" i="8"/>
  <c r="R33" i="8"/>
  <c r="R15" i="8"/>
  <c r="R14" i="8"/>
  <c r="F24" i="8"/>
  <c r="C15" i="8"/>
  <c r="C17" i="8"/>
  <c r="D17" i="8"/>
  <c r="F28" i="8"/>
  <c r="F30" i="8"/>
  <c r="F31" i="8"/>
  <c r="F33" i="8"/>
  <c r="E17" i="8"/>
  <c r="I17" i="8"/>
  <c r="L15" i="8"/>
  <c r="L17" i="8"/>
  <c r="L28" i="8"/>
  <c r="L30" i="8"/>
  <c r="L31" i="8"/>
  <c r="L33" i="8"/>
  <c r="J14" i="8"/>
  <c r="J17" i="8"/>
  <c r="K17" i="8"/>
  <c r="P30" i="8"/>
  <c r="P31" i="8"/>
  <c r="P33" i="8"/>
  <c r="P15" i="8"/>
  <c r="P17" i="8"/>
  <c r="O17" i="8"/>
  <c r="N17" i="8"/>
  <c r="M17" i="8"/>
  <c r="Q17" i="8"/>
  <c r="T24" i="8"/>
  <c r="T28" i="8"/>
  <c r="T30" i="8"/>
  <c r="T31" i="8"/>
  <c r="T33" i="8"/>
  <c r="T15" i="8"/>
  <c r="T17" i="8"/>
  <c r="S17" i="8"/>
  <c r="R17" i="8"/>
  <c r="U33" i="8"/>
  <c r="U1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16" authorId="0" shapeId="0" xr:uid="{00000000-0006-0000-04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493,35
</t>
        </r>
      </text>
    </comment>
    <comment ref="M16" authorId="0" shapeId="0" xr:uid="{00000000-0006-0000-0400-000002000000}">
      <text>
        <r>
          <rPr>
            <b/>
            <sz val="9"/>
            <color rgb="FF000000"/>
            <rFont val="Tahoma"/>
            <family val="2"/>
            <charset val="1"/>
          </rPr>
          <t>920,50</t>
        </r>
      </text>
    </comment>
    <comment ref="N16" authorId="0" shapeId="0" xr:uid="{00000000-0006-0000-0400-000003000000}">
      <text>
        <r>
          <rPr>
            <b/>
            <sz val="9"/>
            <color rgb="FF000000"/>
            <rFont val="Tahoma"/>
            <family val="2"/>
            <charset val="1"/>
          </rPr>
          <t xml:space="preserve">4844,35
</t>
        </r>
        <r>
          <rPr>
            <sz val="9"/>
            <color rgb="FF000000"/>
            <rFont val="Tahoma"/>
            <family val="2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<sst xmlns="http://schemas.openxmlformats.org/spreadsheetml/2006/main" count="411" uniqueCount="103">
  <si>
    <t>JANEIRO de 2012</t>
  </si>
  <si>
    <t>PLANILHA PARA CÁLCULO DE IMPOSTOS FEDERAIS</t>
  </si>
  <si>
    <t>CFOP</t>
  </si>
  <si>
    <t>VALOR</t>
  </si>
  <si>
    <t>(-) IPI</t>
  </si>
  <si>
    <t>FAT. S/ IPI</t>
  </si>
  <si>
    <t>LOCAÇÃO</t>
  </si>
  <si>
    <t>Total</t>
  </si>
  <si>
    <t>Fat. Líq.</t>
  </si>
  <si>
    <t>Fat. Liq.</t>
  </si>
  <si>
    <t xml:space="preserve">  </t>
  </si>
  <si>
    <t>BC IRPJ LUCRO PRESUMIDO</t>
  </si>
  <si>
    <t>BC PIS FAT</t>
  </si>
  <si>
    <t>Alíquota</t>
  </si>
  <si>
    <t>Receita</t>
  </si>
  <si>
    <t>B.C.</t>
  </si>
  <si>
    <t>Ded. ZFM (6116)</t>
  </si>
  <si>
    <t>Outras Receitas</t>
  </si>
  <si>
    <t>Total BC</t>
  </si>
  <si>
    <t>IRPJ</t>
  </si>
  <si>
    <t>(-) Pis Fat Retidos</t>
  </si>
  <si>
    <t>Adicional IR</t>
  </si>
  <si>
    <t>(=) Pis Fat do mês</t>
  </si>
  <si>
    <t>(-) IR Retidos</t>
  </si>
  <si>
    <t>(=) IR do mês</t>
  </si>
  <si>
    <t>BC CSLL LUCRO PRESUMIDO</t>
  </si>
  <si>
    <t>BC Cofins</t>
  </si>
  <si>
    <t>CSLL</t>
  </si>
  <si>
    <t>(-) CSLL Retidos</t>
  </si>
  <si>
    <t>(-) Cofins Fat Retidos</t>
  </si>
  <si>
    <t>(=) CSLL do mês</t>
  </si>
  <si>
    <t>(=) Cofins do mês</t>
  </si>
  <si>
    <t xml:space="preserve"> </t>
  </si>
  <si>
    <t>DESCRIÇÃO</t>
  </si>
  <si>
    <t>ALQ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</si>
  <si>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</si>
  <si>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</si>
  <si>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</si>
  <si>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</si>
  <si>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</si>
  <si>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</si>
  <si>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</si>
  <si>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</si>
  <si>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</si>
  <si>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</si>
  <si>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</si>
  <si>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</si>
  <si>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PAGO</t>
  </si>
  <si>
    <t>TOTAL 2012</t>
  </si>
  <si>
    <t>RECEITA VENDA S/ IPI</t>
  </si>
  <si>
    <t>BC IRPJ</t>
  </si>
  <si>
    <t>RECEITA SERV</t>
  </si>
  <si>
    <t xml:space="preserve">TOTAL </t>
  </si>
  <si>
    <t>OUTRAS REC</t>
  </si>
  <si>
    <t>TOTAL BC</t>
  </si>
  <si>
    <t>ADICIONAL IRPJ</t>
  </si>
  <si>
    <t>IR RET (-)</t>
  </si>
  <si>
    <t>IR MÊS</t>
  </si>
  <si>
    <t>BC CSLL</t>
  </si>
  <si>
    <t>CSLL RET</t>
  </si>
  <si>
    <t>CSLL MÊS</t>
  </si>
  <si>
    <t>RECEITA VENDA PIS</t>
  </si>
  <si>
    <t>BC PIS</t>
  </si>
  <si>
    <t>PIS RET (-)</t>
  </si>
  <si>
    <t>PIS MÊS</t>
  </si>
  <si>
    <t>RECEITA VENDA COFINS</t>
  </si>
  <si>
    <t>BC COFINS</t>
  </si>
  <si>
    <t>COFINS RET (-)</t>
  </si>
  <si>
    <t>COFINS MÊS</t>
  </si>
  <si>
    <t>1º TRIMESTRE</t>
  </si>
  <si>
    <t>2º TRIMESTRE</t>
  </si>
  <si>
    <t>3º TRIMESTRE</t>
  </si>
  <si>
    <t>4º TRIMESTRE</t>
  </si>
  <si>
    <t>VALOR GUIA IRPJ (2089)</t>
  </si>
  <si>
    <t>VALOR GUIA CSLL ()</t>
  </si>
  <si>
    <t>BASE CALCULO IRPJ</t>
  </si>
  <si>
    <t>OUTRAS RECEITAS</t>
  </si>
  <si>
    <t>TOTAL BASE CALCULO</t>
  </si>
  <si>
    <t>BASE CALCULO CSLL</t>
  </si>
  <si>
    <t>BASE CALCULO PIS</t>
  </si>
  <si>
    <t>BASE CALCULO COFINS</t>
  </si>
  <si>
    <t>RECEITA VENDA BRUTA</t>
  </si>
  <si>
    <t>(-) ICMS VENDAS</t>
  </si>
  <si>
    <t>(-) VENDAS CANCELADAS\ABAT\DEV.</t>
  </si>
  <si>
    <t>(+) CREDITO PRESUMIDO RET ( PTA)</t>
  </si>
  <si>
    <t>(-) ISS VENDAS</t>
  </si>
  <si>
    <t>ATIVIDADE</t>
  </si>
  <si>
    <t>RECEITA BRUTA</t>
  </si>
  <si>
    <t>PERCENTUAL RATEIO</t>
  </si>
  <si>
    <t>BASE PRESUNÇÃO</t>
  </si>
  <si>
    <t>LUCRO PRESUMIDO</t>
  </si>
  <si>
    <t>VENDA</t>
  </si>
  <si>
    <t>PRESTAÇÃO SERVIÇOS</t>
  </si>
  <si>
    <t>1º TR.SEM MAJOR.</t>
  </si>
  <si>
    <t>1º TR.COM MAJOR.</t>
  </si>
  <si>
    <t>NORMAL</t>
  </si>
  <si>
    <t>EXCEDENTE</t>
  </si>
  <si>
    <t>BASE CALCULO IRPJ MAJORADO</t>
  </si>
  <si>
    <t>VENDA LIQUIDA</t>
  </si>
  <si>
    <t>PRESTAÇÃO SERVIÇOS LIQUIDA</t>
  </si>
  <si>
    <t xml:space="preserve">RECEITA </t>
  </si>
  <si>
    <t>VENDA BRUTA</t>
  </si>
  <si>
    <t>RECEITA LIQ DEDUZIDO IMP.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</si>
</sst>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mm\-yy;@"/>
    <numFmt numFmtId="165" formatCode="dd/mm/yy;@"/>
    <numFmt numFmtId="166" formatCode="_(&quot;R$ &quot;* #,##0.00_);_(&quot;R$ &quot;* \(#,##0.00\);_(&quot;R$ &quot;* \-??_);_(@_)"/>
    <numFmt numFmtId="167" formatCode="_(&quot;R$ &quot;* #,##0_);_(&quot;R$ &quot;* \(#,##0\);_(&quot;R$ &quot;* \-??_);_(@_)"/>
  </numFmts>
  <fonts count="14" x14ac:knownFonts="1">
    <font>
      <sz val="11"/>
      <color rgb="FF000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rgb="FF10243E"/>
      </patternFill>
    </fill>
    <fill>
      <patternFill patternType="solid">
        <fgColor rgb="FFF2FDD7"/>
        <bgColor rgb="FFFFFFFF"/>
      </patternFill>
    </fill>
    <fill>
      <patternFill patternType="solid">
        <fgColor rgb="FFD7E4BD"/>
        <bgColor rgb="FFF2FDD7"/>
      </patternFill>
    </fill>
    <fill>
      <patternFill patternType="solid">
        <fgColor rgb="FF77933C"/>
        <bgColor rgb="FF808080"/>
      </patternFill>
    </fill>
    <fill>
      <patternFill patternType="solid">
        <fgColor rgb="FF10243E"/>
        <bgColor rgb="FF00206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6" fontId="11" fillId="0" borderId="0" applyBorder="0" applyProtection="0"/>
    <xf numFmtId="9" fontId="11" fillId="0" borderId="0" applyBorder="0" applyProtection="0"/>
    <xf numFmtId="0" fontId="1" fillId="0" borderId="1" applyProtection="0"/>
  </cellStyleXfs>
  <cellXfs count="85">
    <xf numFmtId="0" fontId="0" fillId="0" borderId="0" xfId="0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/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3" fillId="0" borderId="4" xfId="0" applyNumberFormat="1" applyFont="1" applyBorder="1"/>
    <xf numFmtId="4" fontId="0" fillId="0" borderId="2" xfId="0" applyNumberFormat="1" applyBorder="1"/>
    <xf numFmtId="0" fontId="3" fillId="0" borderId="2" xfId="0" applyFont="1" applyBorder="1"/>
    <xf numFmtId="9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0" borderId="2" xfId="0" applyBorder="1"/>
    <xf numFmtId="9" fontId="0" fillId="0" borderId="0" xfId="2" applyFont="1" applyBorder="1" applyAlignment="1" applyProtection="1">
      <alignment horizontal="center"/>
    </xf>
    <xf numFmtId="0" fontId="4" fillId="0" borderId="0" xfId="0" applyFont="1"/>
    <xf numFmtId="0" fontId="5" fillId="2" borderId="0" xfId="0" applyFont="1" applyFill="1"/>
    <xf numFmtId="9" fontId="5" fillId="2" borderId="0" xfId="2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/>
    </xf>
    <xf numFmtId="0" fontId="0" fillId="3" borderId="5" xfId="0" applyFill="1" applyBorder="1"/>
    <xf numFmtId="9" fontId="0" fillId="3" borderId="5" xfId="2" applyFont="1" applyFill="1" applyBorder="1" applyAlignment="1" applyProtection="1">
      <alignment horizontal="center"/>
    </xf>
    <xf numFmtId="166" fontId="0" fillId="3" borderId="5" xfId="1" applyFont="1" applyFill="1" applyBorder="1" applyAlignment="1" applyProtection="1">
      <alignment horizontal="center"/>
    </xf>
    <xf numFmtId="166" fontId="3" fillId="0" borderId="0" xfId="0" applyNumberFormat="1" applyFont="1"/>
    <xf numFmtId="166" fontId="3" fillId="4" borderId="0" xfId="1" applyFont="1" applyFill="1" applyBorder="1" applyProtection="1"/>
    <xf numFmtId="166" fontId="3" fillId="4" borderId="0" xfId="1" applyFont="1" applyFill="1" applyBorder="1" applyAlignment="1" applyProtection="1">
      <alignment horizontal="center"/>
    </xf>
    <xf numFmtId="166" fontId="3" fillId="0" borderId="0" xfId="1" applyFont="1" applyBorder="1" applyProtection="1"/>
    <xf numFmtId="167" fontId="0" fillId="3" borderId="5" xfId="1" applyNumberFormat="1" applyFont="1" applyFill="1" applyBorder="1" applyAlignment="1" applyProtection="1">
      <alignment horizontal="center"/>
    </xf>
    <xf numFmtId="0" fontId="3" fillId="4" borderId="0" xfId="0" applyFont="1" applyFill="1"/>
    <xf numFmtId="9" fontId="3" fillId="4" borderId="0" xfId="2" applyFont="1" applyFill="1" applyBorder="1" applyAlignment="1" applyProtection="1">
      <alignment horizontal="center"/>
    </xf>
    <xf numFmtId="166" fontId="6" fillId="5" borderId="0" xfId="0" applyNumberFormat="1" applyFont="1" applyFill="1"/>
    <xf numFmtId="10" fontId="0" fillId="3" borderId="5" xfId="2" applyNumberFormat="1" applyFont="1" applyFill="1" applyBorder="1" applyAlignment="1" applyProtection="1">
      <alignment horizontal="center"/>
    </xf>
    <xf numFmtId="166" fontId="5" fillId="2" borderId="0" xfId="1" applyFont="1" applyFill="1" applyBorder="1" applyAlignment="1" applyProtection="1">
      <alignment horizontal="center"/>
    </xf>
    <xf numFmtId="166" fontId="0" fillId="4" borderId="5" xfId="1" applyFont="1" applyFill="1" applyBorder="1" applyAlignment="1" applyProtection="1">
      <alignment horizontal="center"/>
    </xf>
    <xf numFmtId="166" fontId="9" fillId="6" borderId="0" xfId="1" applyFont="1" applyFill="1" applyBorder="1" applyProtection="1"/>
    <xf numFmtId="166" fontId="9" fillId="6" borderId="0" xfId="1" applyFont="1" applyFill="1" applyBorder="1" applyAlignment="1" applyProtection="1">
      <alignment horizontal="center"/>
    </xf>
    <xf numFmtId="166" fontId="10" fillId="6" borderId="0" xfId="1" applyFont="1" applyFill="1" applyBorder="1" applyProtection="1"/>
    <xf numFmtId="166" fontId="9" fillId="0" borderId="0" xfId="1" applyFont="1" applyBorder="1" applyProtection="1"/>
    <xf numFmtId="167" fontId="3" fillId="4" borderId="5" xfId="1" applyNumberFormat="1" applyFont="1" applyFill="1" applyBorder="1" applyAlignment="1" applyProtection="1">
      <alignment horizontal="center"/>
    </xf>
    <xf numFmtId="166" fontId="3" fillId="4" borderId="5" xfId="1" applyFont="1" applyFill="1" applyBorder="1" applyAlignment="1" applyProtection="1">
      <alignment horizontal="center"/>
    </xf>
    <xf numFmtId="166" fontId="0" fillId="3" borderId="5" xfId="1" applyFont="1" applyFill="1" applyBorder="1" applyAlignment="1" applyProtection="1">
      <alignment horizontal="left"/>
    </xf>
    <xf numFmtId="43" fontId="0" fillId="0" borderId="0" xfId="0" applyNumberFormat="1"/>
    <xf numFmtId="166" fontId="12" fillId="4" borderId="5" xfId="1" applyFont="1" applyFill="1" applyBorder="1" applyAlignment="1" applyProtection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8" borderId="8" xfId="0" applyFill="1" applyBorder="1"/>
    <xf numFmtId="0" fontId="0" fillId="8" borderId="9" xfId="0" applyFill="1" applyBorder="1"/>
    <xf numFmtId="0" fontId="5" fillId="2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43" fontId="0" fillId="8" borderId="0" xfId="0" applyNumberFormat="1" applyFill="1"/>
    <xf numFmtId="166" fontId="0" fillId="7" borderId="2" xfId="1" applyFont="1" applyFill="1" applyBorder="1" applyAlignment="1" applyProtection="1">
      <alignment horizontal="center"/>
    </xf>
    <xf numFmtId="43" fontId="0" fillId="0" borderId="2" xfId="0" applyNumberFormat="1" applyBorder="1"/>
    <xf numFmtId="166" fontId="0" fillId="0" borderId="2" xfId="1" applyFont="1" applyBorder="1" applyAlignment="1" applyProtection="1">
      <alignment horizontal="center"/>
    </xf>
    <xf numFmtId="0" fontId="0" fillId="0" borderId="11" xfId="0" applyBorder="1"/>
    <xf numFmtId="0" fontId="0" fillId="0" borderId="12" xfId="0" applyBorder="1"/>
    <xf numFmtId="0" fontId="0" fillId="9" borderId="12" xfId="0" applyFill="1" applyBorder="1" applyAlignment="1">
      <alignment horizontal="center"/>
    </xf>
    <xf numFmtId="43" fontId="0" fillId="0" borderId="12" xfId="0" applyNumberFormat="1" applyBorder="1"/>
    <xf numFmtId="0" fontId="0" fillId="3" borderId="11" xfId="0" applyFill="1" applyBorder="1"/>
    <xf numFmtId="0" fontId="13" fillId="0" borderId="11" xfId="0" applyFont="1" applyBorder="1"/>
    <xf numFmtId="43" fontId="0" fillId="9" borderId="12" xfId="0" applyNumberForma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43" fontId="0" fillId="0" borderId="14" xfId="0" applyNumberFormat="1" applyBorder="1"/>
    <xf numFmtId="43" fontId="0" fillId="0" borderId="15" xfId="0" applyNumberFormat="1" applyBorder="1"/>
    <xf numFmtId="10" fontId="0" fillId="3" borderId="2" xfId="2" applyNumberFormat="1" applyFont="1" applyFill="1" applyBorder="1" applyAlignment="1" applyProtection="1">
      <alignment horizontal="center"/>
    </xf>
    <xf numFmtId="166" fontId="13" fillId="4" borderId="5" xfId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9" fontId="11" fillId="7" borderId="2" xfId="2" applyFill="1" applyBorder="1" applyAlignment="1">
      <alignment horizontal="center"/>
    </xf>
    <xf numFmtId="9" fontId="11" fillId="7" borderId="16" xfId="2" applyFill="1" applyBorder="1" applyAlignment="1">
      <alignment horizontal="center"/>
    </xf>
    <xf numFmtId="9" fontId="11" fillId="7" borderId="4" xfId="2" applyFill="1" applyBorder="1" applyAlignment="1">
      <alignment horizontal="center"/>
    </xf>
    <xf numFmtId="43" fontId="0" fillId="0" borderId="0" xfId="0" applyNumberFormat="1" applyBorder="1"/>
    <xf numFmtId="0" fontId="0" fillId="0" borderId="0" xfId="0" applyBorder="1" applyAlignment="1">
      <alignment horizontal="center"/>
    </xf>
    <xf numFmtId="166" fontId="0" fillId="0" borderId="0" xfId="1" applyFont="1" applyBorder="1" applyAlignment="1" applyProtection="1">
      <alignment horizontal="center"/>
    </xf>
    <xf numFmtId="43" fontId="0" fillId="0" borderId="9" xfId="0" applyNumberFormat="1" applyBorder="1"/>
    <xf numFmtId="10" fontId="11" fillId="9" borderId="12" xfId="2" applyNumberFormat="1" applyFill="1" applyBorder="1" applyAlignment="1">
      <alignment horizontal="center"/>
    </xf>
  </cellXfs>
  <cellStyles count="4">
    <cellStyle name="Moeda" xfId="1" builtinId="4"/>
    <cellStyle name="Normal" xfId="0" builtinId="0"/>
    <cellStyle name="Porcentagem" xfId="2" builtinId="5"/>
    <cellStyle name="Texto Explicativo" xfId="3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77933C"/>
      <rgbColor rgb="FF800080"/>
      <rgbColor rgb="FF008080"/>
      <rgbColor rgb="FFC0C0C0"/>
      <rgbColor rgb="FF808080"/>
      <rgbColor rgb="FF9999FF"/>
      <rgbColor rgb="FF993366"/>
      <rgbColor rgb="FFF2FD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0243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942975</xdr:colOff>
      <xdr:row>49</xdr:row>
      <xdr:rowOff>161925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1DFD181A-5259-45F5-8645-7240566579C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942975</xdr:colOff>
      <xdr:row>49</xdr:row>
      <xdr:rowOff>161925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55AD7B93-767D-40B1-B860-A0DDF0A90F2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942975</xdr:colOff>
      <xdr:row>49</xdr:row>
      <xdr:rowOff>161925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1E56C547-0788-4587-AA75-33D0F47B9E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opLeftCell="A54" zoomScaleNormal="100" workbookViewId="0">
      <selection activeCell="B60" sqref="B60"/>
    </sheetView>
  </sheetViews>
  <sheetFormatPr defaultRowHeight="15" x14ac:dyDescent="0.25"/>
  <cols>
    <col min="1" max="1" width="12.28515625" customWidth="1"/>
    <col min="2" max="2" width="18.42578125" style="1" customWidth="1"/>
    <col min="3" max="3" width="16.42578125" style="1" customWidth="1"/>
    <col min="4" max="4" width="21" customWidth="1"/>
    <col min="5" max="1025" width="8.7109375" customWidth="1"/>
  </cols>
  <sheetData>
    <row r="1" spans="1:7" ht="21" x14ac:dyDescent="0.35">
      <c r="A1" s="75" t="s">
        <v>0</v>
      </c>
      <c r="B1" s="75"/>
      <c r="C1" s="75"/>
      <c r="D1" s="75"/>
    </row>
    <row r="3" spans="1:7" x14ac:dyDescent="0.25">
      <c r="A3" s="2"/>
      <c r="B3" s="3"/>
      <c r="C3" s="3"/>
      <c r="D3" s="3"/>
    </row>
    <row r="4" spans="1:7" ht="21" x14ac:dyDescent="0.35">
      <c r="A4" s="76" t="s">
        <v>1</v>
      </c>
      <c r="B4" s="76"/>
      <c r="C4" s="76"/>
      <c r="D4" s="76"/>
      <c r="E4" s="4"/>
      <c r="F4" s="5"/>
      <c r="G4" s="5"/>
    </row>
    <row r="5" spans="1:7" x14ac:dyDescent="0.25">
      <c r="A5" s="6" t="s">
        <v>2</v>
      </c>
      <c r="B5" s="7" t="s">
        <v>3</v>
      </c>
      <c r="C5" s="7" t="s">
        <v>4</v>
      </c>
      <c r="D5" s="6" t="s">
        <v>5</v>
      </c>
    </row>
    <row r="6" spans="1:7" x14ac:dyDescent="0.25">
      <c r="A6" s="8">
        <v>5101</v>
      </c>
      <c r="B6" s="9">
        <v>288829.93</v>
      </c>
      <c r="C6" s="9">
        <v>37503.53</v>
      </c>
      <c r="D6" s="9">
        <f t="shared" ref="D6:D37" si="0">B6-C6</f>
        <v>251326.4</v>
      </c>
      <c r="E6" s="10"/>
    </row>
    <row r="7" spans="1:7" x14ac:dyDescent="0.25">
      <c r="A7" s="8">
        <v>5102</v>
      </c>
      <c r="B7" s="9">
        <v>0</v>
      </c>
      <c r="C7" s="9">
        <v>0</v>
      </c>
      <c r="D7" s="9">
        <f t="shared" si="0"/>
        <v>0</v>
      </c>
    </row>
    <row r="8" spans="1:7" x14ac:dyDescent="0.25">
      <c r="A8" s="8">
        <v>5103</v>
      </c>
      <c r="B8" s="9">
        <v>0</v>
      </c>
      <c r="C8" s="9">
        <v>0</v>
      </c>
      <c r="D8" s="9">
        <f t="shared" si="0"/>
        <v>0</v>
      </c>
    </row>
    <row r="9" spans="1:7" x14ac:dyDescent="0.25">
      <c r="A9" s="8">
        <v>5104</v>
      </c>
      <c r="B9" s="9">
        <v>0</v>
      </c>
      <c r="C9" s="9">
        <v>0</v>
      </c>
      <c r="D9" s="9">
        <f t="shared" si="0"/>
        <v>0</v>
      </c>
      <c r="E9" t="s">
        <v>6</v>
      </c>
    </row>
    <row r="10" spans="1:7" x14ac:dyDescent="0.25">
      <c r="A10" s="8">
        <v>5105</v>
      </c>
      <c r="B10" s="9">
        <v>0</v>
      </c>
      <c r="C10" s="9">
        <v>0</v>
      </c>
      <c r="D10" s="9">
        <f t="shared" si="0"/>
        <v>0</v>
      </c>
    </row>
    <row r="11" spans="1:7" x14ac:dyDescent="0.25">
      <c r="A11" s="8">
        <v>5106</v>
      </c>
      <c r="B11" s="9">
        <v>0</v>
      </c>
      <c r="C11" s="9">
        <v>0</v>
      </c>
      <c r="D11" s="9">
        <f t="shared" si="0"/>
        <v>0</v>
      </c>
    </row>
    <row r="12" spans="1:7" x14ac:dyDescent="0.25">
      <c r="A12" s="8">
        <v>5109</v>
      </c>
      <c r="B12" s="9">
        <v>0</v>
      </c>
      <c r="C12" s="9">
        <v>0</v>
      </c>
      <c r="D12" s="9">
        <f t="shared" si="0"/>
        <v>0</v>
      </c>
    </row>
    <row r="13" spans="1:7" x14ac:dyDescent="0.25">
      <c r="A13" s="8">
        <v>5110</v>
      </c>
      <c r="B13" s="9">
        <v>0</v>
      </c>
      <c r="C13" s="9">
        <v>0</v>
      </c>
      <c r="D13" s="9">
        <f t="shared" si="0"/>
        <v>0</v>
      </c>
    </row>
    <row r="14" spans="1:7" x14ac:dyDescent="0.25">
      <c r="A14" s="8">
        <v>5111</v>
      </c>
      <c r="B14" s="9">
        <v>0</v>
      </c>
      <c r="C14" s="9">
        <v>0</v>
      </c>
      <c r="D14" s="9">
        <f t="shared" si="0"/>
        <v>0</v>
      </c>
    </row>
    <row r="15" spans="1:7" x14ac:dyDescent="0.25">
      <c r="A15" s="8">
        <v>5112</v>
      </c>
      <c r="B15" s="9">
        <v>0</v>
      </c>
      <c r="C15" s="9">
        <v>0</v>
      </c>
      <c r="D15" s="9">
        <f t="shared" si="0"/>
        <v>0</v>
      </c>
    </row>
    <row r="16" spans="1:7" x14ac:dyDescent="0.25">
      <c r="A16" s="8">
        <v>5113</v>
      </c>
      <c r="B16" s="9">
        <v>0</v>
      </c>
      <c r="C16" s="9">
        <v>0</v>
      </c>
      <c r="D16" s="9">
        <f t="shared" si="0"/>
        <v>0</v>
      </c>
    </row>
    <row r="17" spans="1:4" x14ac:dyDescent="0.25">
      <c r="A17" s="8">
        <v>5114</v>
      </c>
      <c r="B17" s="9">
        <v>0</v>
      </c>
      <c r="C17" s="9">
        <v>0</v>
      </c>
      <c r="D17" s="9">
        <f t="shared" si="0"/>
        <v>0</v>
      </c>
    </row>
    <row r="18" spans="1:4" x14ac:dyDescent="0.25">
      <c r="A18" s="8">
        <v>5115</v>
      </c>
      <c r="B18" s="9">
        <v>0</v>
      </c>
      <c r="C18" s="9">
        <v>0</v>
      </c>
      <c r="D18" s="9">
        <f t="shared" si="0"/>
        <v>0</v>
      </c>
    </row>
    <row r="19" spans="1:4" x14ac:dyDescent="0.25">
      <c r="A19" s="8">
        <v>5116</v>
      </c>
      <c r="B19" s="9">
        <v>0</v>
      </c>
      <c r="C19" s="9">
        <v>0</v>
      </c>
      <c r="D19" s="9">
        <f t="shared" si="0"/>
        <v>0</v>
      </c>
    </row>
    <row r="20" spans="1:4" x14ac:dyDescent="0.25">
      <c r="A20" s="8">
        <v>5117</v>
      </c>
      <c r="B20" s="9">
        <v>0</v>
      </c>
      <c r="C20" s="9">
        <v>0</v>
      </c>
      <c r="D20" s="9">
        <f t="shared" si="0"/>
        <v>0</v>
      </c>
    </row>
    <row r="21" spans="1:4" x14ac:dyDescent="0.25">
      <c r="A21" s="8">
        <v>5118</v>
      </c>
      <c r="B21" s="9">
        <v>0</v>
      </c>
      <c r="C21" s="9">
        <v>0</v>
      </c>
      <c r="D21" s="9">
        <f t="shared" si="0"/>
        <v>0</v>
      </c>
    </row>
    <row r="22" spans="1:4" x14ac:dyDescent="0.25">
      <c r="A22" s="8">
        <v>5119</v>
      </c>
      <c r="B22" s="9">
        <v>0</v>
      </c>
      <c r="C22" s="9">
        <v>0</v>
      </c>
      <c r="D22" s="9">
        <f t="shared" si="0"/>
        <v>0</v>
      </c>
    </row>
    <row r="23" spans="1:4" x14ac:dyDescent="0.25">
      <c r="A23" s="8">
        <v>5120</v>
      </c>
      <c r="B23" s="9">
        <v>0</v>
      </c>
      <c r="C23" s="9">
        <v>0</v>
      </c>
      <c r="D23" s="9">
        <f t="shared" si="0"/>
        <v>0</v>
      </c>
    </row>
    <row r="24" spans="1:4" x14ac:dyDescent="0.25">
      <c r="A24" s="8">
        <v>5122</v>
      </c>
      <c r="B24" s="9">
        <v>0</v>
      </c>
      <c r="C24" s="9">
        <v>0</v>
      </c>
      <c r="D24" s="9">
        <f t="shared" si="0"/>
        <v>0</v>
      </c>
    </row>
    <row r="25" spans="1:4" x14ac:dyDescent="0.25">
      <c r="A25" s="8">
        <v>5123</v>
      </c>
      <c r="B25" s="9">
        <v>0</v>
      </c>
      <c r="C25" s="9">
        <v>0</v>
      </c>
      <c r="D25" s="9">
        <f t="shared" si="0"/>
        <v>0</v>
      </c>
    </row>
    <row r="26" spans="1:4" x14ac:dyDescent="0.25">
      <c r="A26" s="8">
        <v>5124</v>
      </c>
      <c r="B26" s="9">
        <v>0</v>
      </c>
      <c r="C26" s="9">
        <v>0</v>
      </c>
      <c r="D26" s="9">
        <f t="shared" si="0"/>
        <v>0</v>
      </c>
    </row>
    <row r="27" spans="1:4" x14ac:dyDescent="0.25">
      <c r="A27" s="8">
        <v>5125</v>
      </c>
      <c r="B27" s="9">
        <v>0</v>
      </c>
      <c r="C27" s="9">
        <v>0</v>
      </c>
      <c r="D27" s="9">
        <f t="shared" si="0"/>
        <v>0</v>
      </c>
    </row>
    <row r="28" spans="1:4" x14ac:dyDescent="0.25">
      <c r="A28" s="8">
        <v>5405</v>
      </c>
      <c r="B28" s="9">
        <v>0</v>
      </c>
      <c r="C28" s="9">
        <v>0</v>
      </c>
      <c r="D28" s="9">
        <f t="shared" si="0"/>
        <v>0</v>
      </c>
    </row>
    <row r="29" spans="1:4" x14ac:dyDescent="0.25">
      <c r="A29" s="8">
        <v>5501</v>
      </c>
      <c r="B29" s="9">
        <v>0</v>
      </c>
      <c r="C29" s="9">
        <v>0</v>
      </c>
      <c r="D29" s="9">
        <f t="shared" si="0"/>
        <v>0</v>
      </c>
    </row>
    <row r="30" spans="1:4" x14ac:dyDescent="0.25">
      <c r="A30" s="8">
        <v>5502</v>
      </c>
      <c r="B30" s="9">
        <v>0</v>
      </c>
      <c r="C30" s="9">
        <v>0</v>
      </c>
      <c r="D30" s="9">
        <f t="shared" si="0"/>
        <v>0</v>
      </c>
    </row>
    <row r="31" spans="1:4" x14ac:dyDescent="0.25">
      <c r="A31" s="8">
        <v>5933</v>
      </c>
      <c r="B31" s="9">
        <v>174.05</v>
      </c>
      <c r="C31" s="9">
        <v>0</v>
      </c>
      <c r="D31" s="9">
        <f t="shared" si="0"/>
        <v>174.05</v>
      </c>
    </row>
    <row r="32" spans="1:4" x14ac:dyDescent="0.25">
      <c r="A32" s="8">
        <v>6101</v>
      </c>
      <c r="B32" s="9">
        <v>60582.59</v>
      </c>
      <c r="C32" s="9">
        <v>3264.09</v>
      </c>
      <c r="D32" s="9">
        <f t="shared" si="0"/>
        <v>57318.5</v>
      </c>
    </row>
    <row r="33" spans="1:4" x14ac:dyDescent="0.25">
      <c r="A33" s="8">
        <v>6102</v>
      </c>
      <c r="B33" s="9">
        <v>0</v>
      </c>
      <c r="C33" s="9">
        <v>0</v>
      </c>
      <c r="D33" s="9">
        <f t="shared" si="0"/>
        <v>0</v>
      </c>
    </row>
    <row r="34" spans="1:4" x14ac:dyDescent="0.25">
      <c r="A34" s="8">
        <v>6103</v>
      </c>
      <c r="B34" s="9">
        <v>0</v>
      </c>
      <c r="C34" s="9">
        <v>0</v>
      </c>
      <c r="D34" s="9">
        <f t="shared" si="0"/>
        <v>0</v>
      </c>
    </row>
    <row r="35" spans="1:4" x14ac:dyDescent="0.25">
      <c r="A35" s="8">
        <v>6104</v>
      </c>
      <c r="B35" s="9">
        <v>0</v>
      </c>
      <c r="C35" s="9">
        <v>0</v>
      </c>
      <c r="D35" s="9">
        <f t="shared" si="0"/>
        <v>0</v>
      </c>
    </row>
    <row r="36" spans="1:4" x14ac:dyDescent="0.25">
      <c r="A36" s="8">
        <v>6105</v>
      </c>
      <c r="B36" s="9">
        <v>0</v>
      </c>
      <c r="C36" s="9">
        <v>0</v>
      </c>
      <c r="D36" s="9">
        <f t="shared" si="0"/>
        <v>0</v>
      </c>
    </row>
    <row r="37" spans="1:4" x14ac:dyDescent="0.25">
      <c r="A37" s="8">
        <v>6106</v>
      </c>
      <c r="B37" s="9">
        <v>0</v>
      </c>
      <c r="C37" s="9">
        <v>0</v>
      </c>
      <c r="D37" s="9">
        <f t="shared" si="0"/>
        <v>0</v>
      </c>
    </row>
    <row r="38" spans="1:4" x14ac:dyDescent="0.25">
      <c r="A38" s="8">
        <v>6107</v>
      </c>
      <c r="B38" s="9">
        <v>0</v>
      </c>
      <c r="C38" s="9">
        <v>0</v>
      </c>
      <c r="D38" s="9">
        <f t="shared" ref="D38:D65" si="1">B38-C38</f>
        <v>0</v>
      </c>
    </row>
    <row r="39" spans="1:4" x14ac:dyDescent="0.25">
      <c r="A39" s="8">
        <v>6108</v>
      </c>
      <c r="B39" s="9">
        <v>0</v>
      </c>
      <c r="C39" s="9">
        <v>0</v>
      </c>
      <c r="D39" s="9">
        <f t="shared" si="1"/>
        <v>0</v>
      </c>
    </row>
    <row r="40" spans="1:4" x14ac:dyDescent="0.25">
      <c r="A40" s="8">
        <v>6109</v>
      </c>
      <c r="B40" s="9">
        <v>0</v>
      </c>
      <c r="C40" s="9">
        <v>0</v>
      </c>
      <c r="D40" s="9">
        <f t="shared" si="1"/>
        <v>0</v>
      </c>
    </row>
    <row r="41" spans="1:4" x14ac:dyDescent="0.25">
      <c r="A41" s="8">
        <v>6110</v>
      </c>
      <c r="B41" s="9">
        <v>0</v>
      </c>
      <c r="C41" s="9">
        <v>0</v>
      </c>
      <c r="D41" s="9">
        <f t="shared" si="1"/>
        <v>0</v>
      </c>
    </row>
    <row r="42" spans="1:4" x14ac:dyDescent="0.25">
      <c r="A42" s="8">
        <v>6111</v>
      </c>
      <c r="B42" s="9">
        <v>0</v>
      </c>
      <c r="C42" s="9">
        <v>0</v>
      </c>
      <c r="D42" s="9">
        <f t="shared" si="1"/>
        <v>0</v>
      </c>
    </row>
    <row r="43" spans="1:4" x14ac:dyDescent="0.25">
      <c r="A43" s="8">
        <v>6112</v>
      </c>
      <c r="B43" s="9">
        <v>0</v>
      </c>
      <c r="C43" s="9">
        <v>0</v>
      </c>
      <c r="D43" s="9">
        <f t="shared" si="1"/>
        <v>0</v>
      </c>
    </row>
    <row r="44" spans="1:4" x14ac:dyDescent="0.25">
      <c r="A44" s="8">
        <v>6113</v>
      </c>
      <c r="B44" s="9">
        <v>0</v>
      </c>
      <c r="C44" s="9">
        <v>0</v>
      </c>
      <c r="D44" s="9">
        <f t="shared" si="1"/>
        <v>0</v>
      </c>
    </row>
    <row r="45" spans="1:4" x14ac:dyDescent="0.25">
      <c r="A45" s="8">
        <v>6114</v>
      </c>
      <c r="B45" s="9">
        <v>0</v>
      </c>
      <c r="C45" s="9">
        <v>0</v>
      </c>
      <c r="D45" s="9">
        <f t="shared" si="1"/>
        <v>0</v>
      </c>
    </row>
    <row r="46" spans="1:4" x14ac:dyDescent="0.25">
      <c r="A46" s="8">
        <v>6115</v>
      </c>
      <c r="B46" s="9">
        <v>0</v>
      </c>
      <c r="C46" s="9">
        <v>0</v>
      </c>
      <c r="D46" s="9">
        <f t="shared" si="1"/>
        <v>0</v>
      </c>
    </row>
    <row r="47" spans="1:4" x14ac:dyDescent="0.25">
      <c r="A47" s="8">
        <v>6116</v>
      </c>
      <c r="B47" s="9">
        <v>0</v>
      </c>
      <c r="C47" s="9">
        <v>0</v>
      </c>
      <c r="D47" s="9">
        <f t="shared" si="1"/>
        <v>0</v>
      </c>
    </row>
    <row r="48" spans="1:4" x14ac:dyDescent="0.25">
      <c r="A48" s="8">
        <v>6117</v>
      </c>
      <c r="B48" s="9">
        <v>0</v>
      </c>
      <c r="C48" s="9">
        <v>0</v>
      </c>
      <c r="D48" s="9">
        <f t="shared" si="1"/>
        <v>0</v>
      </c>
    </row>
    <row r="49" spans="1:4" x14ac:dyDescent="0.25">
      <c r="A49" s="8">
        <v>6118</v>
      </c>
      <c r="B49" s="9">
        <v>0</v>
      </c>
      <c r="C49" s="9">
        <v>0</v>
      </c>
      <c r="D49" s="9">
        <f t="shared" si="1"/>
        <v>0</v>
      </c>
    </row>
    <row r="50" spans="1:4" x14ac:dyDescent="0.25">
      <c r="A50" s="8">
        <v>6119</v>
      </c>
      <c r="B50" s="9">
        <v>0</v>
      </c>
      <c r="C50" s="9">
        <v>0</v>
      </c>
      <c r="D50" s="9">
        <f t="shared" si="1"/>
        <v>0</v>
      </c>
    </row>
    <row r="51" spans="1:4" x14ac:dyDescent="0.25">
      <c r="A51" s="8">
        <v>6120</v>
      </c>
      <c r="B51" s="9">
        <v>0</v>
      </c>
      <c r="C51" s="9">
        <v>0</v>
      </c>
      <c r="D51" s="9">
        <f t="shared" si="1"/>
        <v>0</v>
      </c>
    </row>
    <row r="52" spans="1:4" x14ac:dyDescent="0.25">
      <c r="A52" s="8">
        <v>6122</v>
      </c>
      <c r="B52" s="9">
        <v>0</v>
      </c>
      <c r="C52" s="9">
        <v>0</v>
      </c>
      <c r="D52" s="9">
        <f t="shared" si="1"/>
        <v>0</v>
      </c>
    </row>
    <row r="53" spans="1:4" x14ac:dyDescent="0.25">
      <c r="A53" s="8">
        <v>6123</v>
      </c>
      <c r="B53" s="9">
        <v>0</v>
      </c>
      <c r="C53" s="9">
        <v>0</v>
      </c>
      <c r="D53" s="9">
        <f t="shared" si="1"/>
        <v>0</v>
      </c>
    </row>
    <row r="54" spans="1:4" x14ac:dyDescent="0.25">
      <c r="A54" s="8">
        <v>6124</v>
      </c>
      <c r="B54" s="9">
        <v>0</v>
      </c>
      <c r="C54" s="9">
        <v>0</v>
      </c>
      <c r="D54" s="9">
        <f t="shared" si="1"/>
        <v>0</v>
      </c>
    </row>
    <row r="55" spans="1:4" x14ac:dyDescent="0.25">
      <c r="A55" s="8">
        <v>6125</v>
      </c>
      <c r="B55" s="9">
        <v>0</v>
      </c>
      <c r="C55" s="9">
        <v>0</v>
      </c>
      <c r="D55" s="9">
        <f t="shared" si="1"/>
        <v>0</v>
      </c>
    </row>
    <row r="56" spans="1:4" x14ac:dyDescent="0.25">
      <c r="A56" s="8">
        <v>6404</v>
      </c>
      <c r="B56" s="9">
        <v>0</v>
      </c>
      <c r="C56" s="9">
        <v>0</v>
      </c>
      <c r="D56" s="9">
        <f t="shared" si="1"/>
        <v>0</v>
      </c>
    </row>
    <row r="57" spans="1:4" x14ac:dyDescent="0.25">
      <c r="A57" s="8">
        <v>6501</v>
      </c>
      <c r="B57" s="9">
        <v>0</v>
      </c>
      <c r="C57" s="9">
        <v>0</v>
      </c>
      <c r="D57" s="9">
        <f t="shared" si="1"/>
        <v>0</v>
      </c>
    </row>
    <row r="58" spans="1:4" x14ac:dyDescent="0.25">
      <c r="A58" s="8">
        <v>6502</v>
      </c>
      <c r="B58" s="9">
        <v>0</v>
      </c>
      <c r="C58" s="9">
        <v>0</v>
      </c>
      <c r="D58" s="9">
        <f t="shared" si="1"/>
        <v>0</v>
      </c>
    </row>
    <row r="59" spans="1:4" x14ac:dyDescent="0.25">
      <c r="A59" s="8">
        <v>6933</v>
      </c>
      <c r="B59" s="9">
        <v>52.3</v>
      </c>
      <c r="C59" s="9">
        <v>0</v>
      </c>
      <c r="D59" s="9">
        <f t="shared" si="1"/>
        <v>52.3</v>
      </c>
    </row>
    <row r="60" spans="1:4" x14ac:dyDescent="0.25">
      <c r="A60" s="8">
        <v>7101</v>
      </c>
      <c r="B60" s="9">
        <v>0</v>
      </c>
      <c r="C60" s="9">
        <v>0</v>
      </c>
      <c r="D60" s="9">
        <f t="shared" si="1"/>
        <v>0</v>
      </c>
    </row>
    <row r="61" spans="1:4" x14ac:dyDescent="0.25">
      <c r="A61" s="8">
        <v>7102</v>
      </c>
      <c r="B61" s="9">
        <v>0</v>
      </c>
      <c r="C61" s="9">
        <v>0</v>
      </c>
      <c r="D61" s="9">
        <f t="shared" si="1"/>
        <v>0</v>
      </c>
    </row>
    <row r="62" spans="1:4" x14ac:dyDescent="0.25">
      <c r="A62" s="8">
        <v>7105</v>
      </c>
      <c r="B62" s="9">
        <v>0</v>
      </c>
      <c r="C62" s="9">
        <v>0</v>
      </c>
      <c r="D62" s="9">
        <f t="shared" si="1"/>
        <v>0</v>
      </c>
    </row>
    <row r="63" spans="1:4" x14ac:dyDescent="0.25">
      <c r="A63" s="8">
        <v>7106</v>
      </c>
      <c r="B63" s="9">
        <v>0</v>
      </c>
      <c r="C63" s="9">
        <v>0</v>
      </c>
      <c r="D63" s="9">
        <f t="shared" si="1"/>
        <v>0</v>
      </c>
    </row>
    <row r="64" spans="1:4" x14ac:dyDescent="0.25">
      <c r="A64" s="8">
        <v>7127</v>
      </c>
      <c r="B64" s="9">
        <v>0</v>
      </c>
      <c r="C64" s="9">
        <v>0</v>
      </c>
      <c r="D64" s="9">
        <f t="shared" si="1"/>
        <v>0</v>
      </c>
    </row>
    <row r="65" spans="1:4" x14ac:dyDescent="0.25">
      <c r="A65" s="8">
        <v>7501</v>
      </c>
      <c r="B65" s="9">
        <v>0</v>
      </c>
      <c r="C65" s="9">
        <v>0</v>
      </c>
      <c r="D65" s="9">
        <f t="shared" si="1"/>
        <v>0</v>
      </c>
    </row>
    <row r="66" spans="1:4" x14ac:dyDescent="0.25">
      <c r="A66" s="6" t="s">
        <v>7</v>
      </c>
      <c r="B66" s="11">
        <f>SUM(B6:B65)</f>
        <v>349638.86999999994</v>
      </c>
      <c r="C66" s="11">
        <f>SUM(C6:C65)</f>
        <v>40767.619999999995</v>
      </c>
      <c r="D66" s="11">
        <f>SUM(D6:D65)</f>
        <v>308871.24999999994</v>
      </c>
    </row>
    <row r="67" spans="1:4" x14ac:dyDescent="0.25">
      <c r="A67" s="8">
        <v>1201</v>
      </c>
      <c r="B67" s="9">
        <v>0</v>
      </c>
      <c r="C67" s="9">
        <v>0</v>
      </c>
      <c r="D67" s="9">
        <f>B67-C67</f>
        <v>0</v>
      </c>
    </row>
    <row r="68" spans="1:4" x14ac:dyDescent="0.25">
      <c r="A68" s="8">
        <v>1202</v>
      </c>
      <c r="B68" s="9">
        <v>0</v>
      </c>
      <c r="C68" s="9">
        <v>0</v>
      </c>
      <c r="D68" s="9">
        <f>B68-C68</f>
        <v>0</v>
      </c>
    </row>
    <row r="69" spans="1:4" x14ac:dyDescent="0.25">
      <c r="A69" s="8">
        <v>2201</v>
      </c>
      <c r="B69" s="9">
        <v>0</v>
      </c>
      <c r="C69" s="9">
        <v>0</v>
      </c>
      <c r="D69" s="9">
        <f>B69-C69</f>
        <v>0</v>
      </c>
    </row>
    <row r="70" spans="1:4" x14ac:dyDescent="0.25">
      <c r="A70" s="8">
        <v>2202</v>
      </c>
      <c r="B70" s="9">
        <v>0</v>
      </c>
      <c r="C70" s="9">
        <v>0</v>
      </c>
      <c r="D70" s="9">
        <f>B70-C70</f>
        <v>0</v>
      </c>
    </row>
    <row r="71" spans="1:4" x14ac:dyDescent="0.25">
      <c r="A71" s="8">
        <v>3201</v>
      </c>
      <c r="B71" s="9">
        <v>0</v>
      </c>
      <c r="C71" s="9">
        <v>0</v>
      </c>
      <c r="D71" s="9">
        <f>B71-C71</f>
        <v>0</v>
      </c>
    </row>
    <row r="72" spans="1:4" x14ac:dyDescent="0.25">
      <c r="A72" s="6" t="s">
        <v>8</v>
      </c>
      <c r="B72" s="11">
        <f>B66-B67-B68-B69-B70-B71</f>
        <v>349638.86999999994</v>
      </c>
      <c r="C72" s="11">
        <f>C66+C67+C68+C69+C70</f>
        <v>40767.619999999995</v>
      </c>
      <c r="D72" s="11">
        <f>D66-D67-D68-D69-D70-D71</f>
        <v>308871.24999999994</v>
      </c>
    </row>
  </sheetData>
  <mergeCells count="2">
    <mergeCell ref="A1:D1"/>
    <mergeCell ref="A4:D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1"/>
  <sheetViews>
    <sheetView topLeftCell="A48" zoomScaleNormal="100" workbookViewId="0">
      <selection activeCell="D70" sqref="D70"/>
    </sheetView>
  </sheetViews>
  <sheetFormatPr defaultRowHeight="15" x14ac:dyDescent="0.25"/>
  <cols>
    <col min="1" max="1" width="13" customWidth="1"/>
    <col min="2" max="2" width="18.28515625" customWidth="1"/>
    <col min="3" max="3" width="15.5703125" customWidth="1"/>
    <col min="4" max="4" width="20.7109375" customWidth="1"/>
    <col min="5" max="1025" width="8.7109375" customWidth="1"/>
  </cols>
  <sheetData>
    <row r="1" spans="1:4" ht="21" x14ac:dyDescent="0.35">
      <c r="A1" s="75" t="s">
        <v>0</v>
      </c>
      <c r="B1" s="75"/>
      <c r="C1" s="75"/>
      <c r="D1" s="75"/>
    </row>
    <row r="4" spans="1:4" ht="21" x14ac:dyDescent="0.35">
      <c r="A4" s="76" t="s">
        <v>1</v>
      </c>
      <c r="B4" s="76"/>
      <c r="C4" s="76"/>
      <c r="D4" s="76"/>
    </row>
    <row r="5" spans="1:4" x14ac:dyDescent="0.25">
      <c r="A5" s="12" t="s">
        <v>2</v>
      </c>
      <c r="B5" s="13" t="s">
        <v>3</v>
      </c>
      <c r="C5" s="13" t="s">
        <v>4</v>
      </c>
      <c r="D5" s="12" t="s">
        <v>5</v>
      </c>
    </row>
    <row r="6" spans="1:4" x14ac:dyDescent="0.25">
      <c r="A6" s="8">
        <v>5101</v>
      </c>
      <c r="B6" s="9">
        <v>0</v>
      </c>
      <c r="C6" s="9">
        <v>0</v>
      </c>
      <c r="D6" s="9">
        <f t="shared" ref="D6:D37" si="0">B6-C6</f>
        <v>0</v>
      </c>
    </row>
    <row r="7" spans="1:4" x14ac:dyDescent="0.25">
      <c r="A7" s="8">
        <v>5102</v>
      </c>
      <c r="B7" s="9">
        <v>0</v>
      </c>
      <c r="C7" s="9">
        <v>0</v>
      </c>
      <c r="D7" s="9">
        <f t="shared" si="0"/>
        <v>0</v>
      </c>
    </row>
    <row r="8" spans="1:4" x14ac:dyDescent="0.25">
      <c r="A8" s="8">
        <v>5103</v>
      </c>
      <c r="B8" s="9">
        <v>0</v>
      </c>
      <c r="C8" s="9">
        <v>0</v>
      </c>
      <c r="D8" s="9">
        <f t="shared" si="0"/>
        <v>0</v>
      </c>
    </row>
    <row r="9" spans="1:4" x14ac:dyDescent="0.25">
      <c r="A9" s="8">
        <v>5104</v>
      </c>
      <c r="B9" s="9">
        <v>0</v>
      </c>
      <c r="C9" s="9">
        <v>0</v>
      </c>
      <c r="D9" s="9">
        <f t="shared" si="0"/>
        <v>0</v>
      </c>
    </row>
    <row r="10" spans="1:4" x14ac:dyDescent="0.25">
      <c r="A10" s="8">
        <v>5105</v>
      </c>
      <c r="B10" s="9">
        <v>0</v>
      </c>
      <c r="C10" s="9">
        <v>0</v>
      </c>
      <c r="D10" s="9">
        <f t="shared" si="0"/>
        <v>0</v>
      </c>
    </row>
    <row r="11" spans="1:4" x14ac:dyDescent="0.25">
      <c r="A11" s="8">
        <v>5106</v>
      </c>
      <c r="B11" s="9">
        <v>0</v>
      </c>
      <c r="C11" s="9">
        <v>0</v>
      </c>
      <c r="D11" s="9">
        <f t="shared" si="0"/>
        <v>0</v>
      </c>
    </row>
    <row r="12" spans="1:4" x14ac:dyDescent="0.25">
      <c r="A12" s="8">
        <v>5109</v>
      </c>
      <c r="B12" s="9">
        <v>0</v>
      </c>
      <c r="C12" s="9">
        <v>0</v>
      </c>
      <c r="D12" s="9">
        <f t="shared" si="0"/>
        <v>0</v>
      </c>
    </row>
    <row r="13" spans="1:4" x14ac:dyDescent="0.25">
      <c r="A13" s="8">
        <v>5110</v>
      </c>
      <c r="B13" s="9">
        <v>0</v>
      </c>
      <c r="C13" s="9">
        <v>0</v>
      </c>
      <c r="D13" s="9">
        <f t="shared" si="0"/>
        <v>0</v>
      </c>
    </row>
    <row r="14" spans="1:4" x14ac:dyDescent="0.25">
      <c r="A14" s="8">
        <v>5111</v>
      </c>
      <c r="B14" s="9">
        <v>0</v>
      </c>
      <c r="C14" s="9">
        <v>0</v>
      </c>
      <c r="D14" s="9">
        <f t="shared" si="0"/>
        <v>0</v>
      </c>
    </row>
    <row r="15" spans="1:4" x14ac:dyDescent="0.25">
      <c r="A15" s="8">
        <v>5112</v>
      </c>
      <c r="B15" s="9">
        <v>0</v>
      </c>
      <c r="C15" s="9">
        <v>0</v>
      </c>
      <c r="D15" s="9">
        <f t="shared" si="0"/>
        <v>0</v>
      </c>
    </row>
    <row r="16" spans="1:4" x14ac:dyDescent="0.25">
      <c r="A16" s="8">
        <v>5113</v>
      </c>
      <c r="B16" s="9">
        <v>0</v>
      </c>
      <c r="C16" s="9">
        <v>0</v>
      </c>
      <c r="D16" s="9">
        <f t="shared" si="0"/>
        <v>0</v>
      </c>
    </row>
    <row r="17" spans="1:4" x14ac:dyDescent="0.25">
      <c r="A17" s="8">
        <v>5114</v>
      </c>
      <c r="B17" s="9">
        <v>0</v>
      </c>
      <c r="C17" s="9">
        <v>0</v>
      </c>
      <c r="D17" s="9">
        <f t="shared" si="0"/>
        <v>0</v>
      </c>
    </row>
    <row r="18" spans="1:4" x14ac:dyDescent="0.25">
      <c r="A18" s="8">
        <v>5115</v>
      </c>
      <c r="B18" s="9">
        <v>0</v>
      </c>
      <c r="C18" s="9">
        <v>0</v>
      </c>
      <c r="D18" s="9">
        <f t="shared" si="0"/>
        <v>0</v>
      </c>
    </row>
    <row r="19" spans="1:4" x14ac:dyDescent="0.25">
      <c r="A19" s="8">
        <v>5116</v>
      </c>
      <c r="B19" s="9">
        <v>0</v>
      </c>
      <c r="C19" s="9">
        <v>0</v>
      </c>
      <c r="D19" s="9">
        <f t="shared" si="0"/>
        <v>0</v>
      </c>
    </row>
    <row r="20" spans="1:4" x14ac:dyDescent="0.25">
      <c r="A20" s="8">
        <v>5117</v>
      </c>
      <c r="B20" s="9">
        <v>0</v>
      </c>
      <c r="C20" s="9">
        <v>0</v>
      </c>
      <c r="D20" s="9">
        <f t="shared" si="0"/>
        <v>0</v>
      </c>
    </row>
    <row r="21" spans="1:4" x14ac:dyDescent="0.25">
      <c r="A21" s="8">
        <v>5118</v>
      </c>
      <c r="B21" s="9">
        <v>0</v>
      </c>
      <c r="C21" s="9">
        <v>0</v>
      </c>
      <c r="D21" s="9">
        <f t="shared" si="0"/>
        <v>0</v>
      </c>
    </row>
    <row r="22" spans="1:4" x14ac:dyDescent="0.25">
      <c r="A22" s="8">
        <v>5119</v>
      </c>
      <c r="B22" s="9">
        <v>0</v>
      </c>
      <c r="C22" s="9">
        <v>0</v>
      </c>
      <c r="D22" s="9">
        <f t="shared" si="0"/>
        <v>0</v>
      </c>
    </row>
    <row r="23" spans="1:4" x14ac:dyDescent="0.25">
      <c r="A23" s="8">
        <v>5120</v>
      </c>
      <c r="B23" s="9">
        <v>0</v>
      </c>
      <c r="C23" s="9">
        <v>0</v>
      </c>
      <c r="D23" s="9">
        <f t="shared" si="0"/>
        <v>0</v>
      </c>
    </row>
    <row r="24" spans="1:4" x14ac:dyDescent="0.25">
      <c r="A24" s="8">
        <v>5122</v>
      </c>
      <c r="B24" s="9">
        <v>0</v>
      </c>
      <c r="C24" s="9">
        <v>0</v>
      </c>
      <c r="D24" s="9">
        <f t="shared" si="0"/>
        <v>0</v>
      </c>
    </row>
    <row r="25" spans="1:4" x14ac:dyDescent="0.25">
      <c r="A25" s="8">
        <v>5123</v>
      </c>
      <c r="B25" s="9">
        <v>0</v>
      </c>
      <c r="C25" s="9">
        <v>0</v>
      </c>
      <c r="D25" s="9">
        <f t="shared" si="0"/>
        <v>0</v>
      </c>
    </row>
    <row r="26" spans="1:4" x14ac:dyDescent="0.25">
      <c r="A26" s="8">
        <v>5124</v>
      </c>
      <c r="B26" s="9">
        <v>0</v>
      </c>
      <c r="C26" s="9">
        <v>0</v>
      </c>
      <c r="D26" s="9">
        <f t="shared" si="0"/>
        <v>0</v>
      </c>
    </row>
    <row r="27" spans="1:4" x14ac:dyDescent="0.25">
      <c r="A27" s="8">
        <v>5125</v>
      </c>
      <c r="B27" s="9">
        <v>0</v>
      </c>
      <c r="C27" s="9">
        <v>0</v>
      </c>
      <c r="D27" s="9">
        <f t="shared" si="0"/>
        <v>0</v>
      </c>
    </row>
    <row r="28" spans="1:4" x14ac:dyDescent="0.25">
      <c r="A28" s="8">
        <v>5405</v>
      </c>
      <c r="B28" s="9">
        <v>0</v>
      </c>
      <c r="C28" s="9">
        <v>0</v>
      </c>
      <c r="D28" s="9">
        <f t="shared" si="0"/>
        <v>0</v>
      </c>
    </row>
    <row r="29" spans="1:4" x14ac:dyDescent="0.25">
      <c r="A29" s="8">
        <v>5501</v>
      </c>
      <c r="B29" s="9">
        <v>0</v>
      </c>
      <c r="C29" s="9">
        <v>0</v>
      </c>
      <c r="D29" s="9">
        <f t="shared" si="0"/>
        <v>0</v>
      </c>
    </row>
    <row r="30" spans="1:4" x14ac:dyDescent="0.25">
      <c r="A30" s="8">
        <v>5502</v>
      </c>
      <c r="B30" s="9">
        <v>0</v>
      </c>
      <c r="C30" s="9">
        <v>0</v>
      </c>
      <c r="D30" s="9">
        <f t="shared" si="0"/>
        <v>0</v>
      </c>
    </row>
    <row r="31" spans="1:4" x14ac:dyDescent="0.25">
      <c r="A31" s="8">
        <v>5933</v>
      </c>
      <c r="B31" s="9">
        <v>0</v>
      </c>
      <c r="C31" s="9">
        <v>0</v>
      </c>
      <c r="D31" s="9">
        <f t="shared" si="0"/>
        <v>0</v>
      </c>
    </row>
    <row r="32" spans="1:4" x14ac:dyDescent="0.25">
      <c r="A32" s="8">
        <v>6101</v>
      </c>
      <c r="B32" s="9">
        <v>0</v>
      </c>
      <c r="C32" s="9">
        <v>0</v>
      </c>
      <c r="D32" s="9">
        <f t="shared" si="0"/>
        <v>0</v>
      </c>
    </row>
    <row r="33" spans="1:4" x14ac:dyDescent="0.25">
      <c r="A33" s="8">
        <v>6102</v>
      </c>
      <c r="B33" s="9">
        <v>0</v>
      </c>
      <c r="C33" s="9">
        <v>0</v>
      </c>
      <c r="D33" s="9">
        <f t="shared" si="0"/>
        <v>0</v>
      </c>
    </row>
    <row r="34" spans="1:4" x14ac:dyDescent="0.25">
      <c r="A34" s="8">
        <v>6103</v>
      </c>
      <c r="B34" s="9">
        <v>0</v>
      </c>
      <c r="C34" s="9">
        <v>0</v>
      </c>
      <c r="D34" s="9">
        <f t="shared" si="0"/>
        <v>0</v>
      </c>
    </row>
    <row r="35" spans="1:4" x14ac:dyDescent="0.25">
      <c r="A35" s="8">
        <v>6104</v>
      </c>
      <c r="B35" s="9">
        <v>0</v>
      </c>
      <c r="C35" s="9">
        <v>0</v>
      </c>
      <c r="D35" s="9">
        <f t="shared" si="0"/>
        <v>0</v>
      </c>
    </row>
    <row r="36" spans="1:4" x14ac:dyDescent="0.25">
      <c r="A36" s="8">
        <v>6105</v>
      </c>
      <c r="B36" s="9">
        <v>0</v>
      </c>
      <c r="C36" s="9">
        <v>0</v>
      </c>
      <c r="D36" s="9">
        <f t="shared" si="0"/>
        <v>0</v>
      </c>
    </row>
    <row r="37" spans="1:4" x14ac:dyDescent="0.25">
      <c r="A37" s="8">
        <v>6106</v>
      </c>
      <c r="B37" s="9">
        <v>0</v>
      </c>
      <c r="C37" s="9">
        <v>0</v>
      </c>
      <c r="D37" s="9">
        <f t="shared" si="0"/>
        <v>0</v>
      </c>
    </row>
    <row r="38" spans="1:4" x14ac:dyDescent="0.25">
      <c r="A38" s="8">
        <v>6107</v>
      </c>
      <c r="B38" s="9">
        <v>0</v>
      </c>
      <c r="C38" s="9">
        <v>0</v>
      </c>
      <c r="D38" s="9">
        <f t="shared" ref="D38:D65" si="1">B38-C38</f>
        <v>0</v>
      </c>
    </row>
    <row r="39" spans="1:4" x14ac:dyDescent="0.25">
      <c r="A39" s="8">
        <v>6108</v>
      </c>
      <c r="B39" s="9">
        <v>0</v>
      </c>
      <c r="C39" s="9">
        <v>0</v>
      </c>
      <c r="D39" s="9">
        <f t="shared" si="1"/>
        <v>0</v>
      </c>
    </row>
    <row r="40" spans="1:4" x14ac:dyDescent="0.25">
      <c r="A40" s="8">
        <v>6109</v>
      </c>
      <c r="B40" s="9">
        <v>0</v>
      </c>
      <c r="C40" s="9">
        <v>0</v>
      </c>
      <c r="D40" s="9">
        <f t="shared" si="1"/>
        <v>0</v>
      </c>
    </row>
    <row r="41" spans="1:4" x14ac:dyDescent="0.25">
      <c r="A41" s="8">
        <v>6110</v>
      </c>
      <c r="B41" s="9">
        <v>0</v>
      </c>
      <c r="C41" s="9">
        <v>0</v>
      </c>
      <c r="D41" s="9">
        <f t="shared" si="1"/>
        <v>0</v>
      </c>
    </row>
    <row r="42" spans="1:4" x14ac:dyDescent="0.25">
      <c r="A42" s="8">
        <v>6111</v>
      </c>
      <c r="B42" s="9">
        <v>0</v>
      </c>
      <c r="C42" s="9">
        <v>0</v>
      </c>
      <c r="D42" s="9">
        <f t="shared" si="1"/>
        <v>0</v>
      </c>
    </row>
    <row r="43" spans="1:4" x14ac:dyDescent="0.25">
      <c r="A43" s="8">
        <v>6112</v>
      </c>
      <c r="B43" s="9">
        <v>0</v>
      </c>
      <c r="C43" s="9">
        <v>0</v>
      </c>
      <c r="D43" s="9">
        <f t="shared" si="1"/>
        <v>0</v>
      </c>
    </row>
    <row r="44" spans="1:4" x14ac:dyDescent="0.25">
      <c r="A44" s="8">
        <v>6113</v>
      </c>
      <c r="B44" s="9">
        <v>0</v>
      </c>
      <c r="C44" s="9">
        <v>0</v>
      </c>
      <c r="D44" s="9">
        <f t="shared" si="1"/>
        <v>0</v>
      </c>
    </row>
    <row r="45" spans="1:4" x14ac:dyDescent="0.25">
      <c r="A45" s="8">
        <v>6114</v>
      </c>
      <c r="B45" s="9">
        <v>0</v>
      </c>
      <c r="C45" s="9">
        <v>0</v>
      </c>
      <c r="D45" s="9">
        <f t="shared" si="1"/>
        <v>0</v>
      </c>
    </row>
    <row r="46" spans="1:4" x14ac:dyDescent="0.25">
      <c r="A46" s="8">
        <v>6115</v>
      </c>
      <c r="B46" s="9">
        <v>0</v>
      </c>
      <c r="C46" s="9">
        <v>0</v>
      </c>
      <c r="D46" s="9">
        <f t="shared" si="1"/>
        <v>0</v>
      </c>
    </row>
    <row r="47" spans="1:4" x14ac:dyDescent="0.25">
      <c r="A47" s="8">
        <v>6116</v>
      </c>
      <c r="B47" s="9">
        <v>0</v>
      </c>
      <c r="C47" s="9">
        <v>0</v>
      </c>
      <c r="D47" s="9">
        <f t="shared" si="1"/>
        <v>0</v>
      </c>
    </row>
    <row r="48" spans="1:4" x14ac:dyDescent="0.25">
      <c r="A48" s="8">
        <v>6117</v>
      </c>
      <c r="B48" s="9">
        <v>0</v>
      </c>
      <c r="C48" s="9">
        <v>0</v>
      </c>
      <c r="D48" s="9">
        <f t="shared" si="1"/>
        <v>0</v>
      </c>
    </row>
    <row r="49" spans="1:4" x14ac:dyDescent="0.25">
      <c r="A49" s="8">
        <v>6118</v>
      </c>
      <c r="B49" s="9">
        <v>0</v>
      </c>
      <c r="C49" s="9">
        <v>0</v>
      </c>
      <c r="D49" s="9">
        <f t="shared" si="1"/>
        <v>0</v>
      </c>
    </row>
    <row r="50" spans="1:4" x14ac:dyDescent="0.25">
      <c r="A50" s="8">
        <v>6119</v>
      </c>
      <c r="B50" s="9">
        <v>0</v>
      </c>
      <c r="C50" s="9">
        <v>0</v>
      </c>
      <c r="D50" s="9">
        <f t="shared" si="1"/>
        <v>0</v>
      </c>
    </row>
    <row r="51" spans="1:4" x14ac:dyDescent="0.25">
      <c r="A51" s="8">
        <v>6120</v>
      </c>
      <c r="B51" s="9">
        <v>0</v>
      </c>
      <c r="C51" s="9">
        <v>0</v>
      </c>
      <c r="D51" s="9">
        <f t="shared" si="1"/>
        <v>0</v>
      </c>
    </row>
    <row r="52" spans="1:4" x14ac:dyDescent="0.25">
      <c r="A52" s="8">
        <v>6122</v>
      </c>
      <c r="B52" s="9">
        <v>0</v>
      </c>
      <c r="C52" s="9">
        <v>0</v>
      </c>
      <c r="D52" s="9">
        <f t="shared" si="1"/>
        <v>0</v>
      </c>
    </row>
    <row r="53" spans="1:4" x14ac:dyDescent="0.25">
      <c r="A53" s="8">
        <v>6123</v>
      </c>
      <c r="B53" s="9">
        <v>0</v>
      </c>
      <c r="C53" s="9">
        <v>0</v>
      </c>
      <c r="D53" s="9">
        <f t="shared" si="1"/>
        <v>0</v>
      </c>
    </row>
    <row r="54" spans="1:4" x14ac:dyDescent="0.25">
      <c r="A54" s="8">
        <v>6124</v>
      </c>
      <c r="B54" s="9">
        <v>0</v>
      </c>
      <c r="C54" s="9">
        <v>0</v>
      </c>
      <c r="D54" s="9">
        <f t="shared" si="1"/>
        <v>0</v>
      </c>
    </row>
    <row r="55" spans="1:4" x14ac:dyDescent="0.25">
      <c r="A55" s="8">
        <v>6125</v>
      </c>
      <c r="B55" s="9">
        <v>0</v>
      </c>
      <c r="C55" s="9">
        <v>0</v>
      </c>
      <c r="D55" s="9">
        <f t="shared" si="1"/>
        <v>0</v>
      </c>
    </row>
    <row r="56" spans="1:4" x14ac:dyDescent="0.25">
      <c r="A56" s="8">
        <v>6404</v>
      </c>
      <c r="B56" s="9">
        <v>0</v>
      </c>
      <c r="C56" s="9">
        <v>0</v>
      </c>
      <c r="D56" s="9">
        <f t="shared" si="1"/>
        <v>0</v>
      </c>
    </row>
    <row r="57" spans="1:4" x14ac:dyDescent="0.25">
      <c r="A57" s="8">
        <v>6501</v>
      </c>
      <c r="B57" s="9">
        <v>0</v>
      </c>
      <c r="C57" s="9">
        <v>0</v>
      </c>
      <c r="D57" s="9">
        <f t="shared" si="1"/>
        <v>0</v>
      </c>
    </row>
    <row r="58" spans="1:4" x14ac:dyDescent="0.25">
      <c r="A58" s="8">
        <v>6502</v>
      </c>
      <c r="B58" s="9">
        <v>0</v>
      </c>
      <c r="C58" s="9">
        <v>0</v>
      </c>
      <c r="D58" s="9">
        <f t="shared" si="1"/>
        <v>0</v>
      </c>
    </row>
    <row r="59" spans="1:4" x14ac:dyDescent="0.25">
      <c r="A59" s="8">
        <v>6933</v>
      </c>
      <c r="B59" s="9">
        <v>0</v>
      </c>
      <c r="C59" s="9">
        <v>0</v>
      </c>
      <c r="D59" s="9">
        <f t="shared" si="1"/>
        <v>0</v>
      </c>
    </row>
    <row r="60" spans="1:4" x14ac:dyDescent="0.25">
      <c r="A60" s="8">
        <v>7101</v>
      </c>
      <c r="B60" s="9">
        <v>0</v>
      </c>
      <c r="C60" s="9">
        <v>0</v>
      </c>
      <c r="D60" s="9">
        <f t="shared" si="1"/>
        <v>0</v>
      </c>
    </row>
    <row r="61" spans="1:4" x14ac:dyDescent="0.25">
      <c r="A61" s="8">
        <v>7102</v>
      </c>
      <c r="B61" s="9">
        <v>0</v>
      </c>
      <c r="C61" s="9">
        <v>0</v>
      </c>
      <c r="D61" s="9">
        <f t="shared" si="1"/>
        <v>0</v>
      </c>
    </row>
    <row r="62" spans="1:4" x14ac:dyDescent="0.25">
      <c r="A62" s="8">
        <v>7105</v>
      </c>
      <c r="B62" s="9">
        <v>0</v>
      </c>
      <c r="C62" s="9">
        <v>0</v>
      </c>
      <c r="D62" s="9">
        <f t="shared" si="1"/>
        <v>0</v>
      </c>
    </row>
    <row r="63" spans="1:4" x14ac:dyDescent="0.25">
      <c r="A63" s="8">
        <v>7106</v>
      </c>
      <c r="B63" s="9">
        <v>0</v>
      </c>
      <c r="C63" s="9">
        <v>0</v>
      </c>
      <c r="D63" s="9">
        <f t="shared" si="1"/>
        <v>0</v>
      </c>
    </row>
    <row r="64" spans="1:4" x14ac:dyDescent="0.25">
      <c r="A64" s="8">
        <v>7127</v>
      </c>
      <c r="B64" s="9">
        <v>0</v>
      </c>
      <c r="C64" s="9">
        <v>0</v>
      </c>
      <c r="D64" s="9">
        <f t="shared" si="1"/>
        <v>0</v>
      </c>
    </row>
    <row r="65" spans="1:4" x14ac:dyDescent="0.25">
      <c r="A65" s="8">
        <v>7501</v>
      </c>
      <c r="B65" s="9">
        <v>0</v>
      </c>
      <c r="C65" s="9">
        <v>0</v>
      </c>
      <c r="D65" s="9">
        <f t="shared" si="1"/>
        <v>0</v>
      </c>
    </row>
    <row r="66" spans="1:4" x14ac:dyDescent="0.25">
      <c r="A66" s="6" t="s">
        <v>7</v>
      </c>
      <c r="B66" s="11">
        <f>SUM(B6:B65)</f>
        <v>0</v>
      </c>
      <c r="C66" s="11">
        <f>SUM(C6:C65)</f>
        <v>0</v>
      </c>
      <c r="D66" s="11">
        <f>SUM(D6:D65)</f>
        <v>0</v>
      </c>
    </row>
    <row r="67" spans="1:4" x14ac:dyDescent="0.25">
      <c r="A67" s="8">
        <v>1201</v>
      </c>
      <c r="B67" s="9">
        <v>0</v>
      </c>
      <c r="C67" s="9">
        <v>0</v>
      </c>
      <c r="D67" s="9">
        <v>0</v>
      </c>
    </row>
    <row r="68" spans="1:4" x14ac:dyDescent="0.25">
      <c r="A68" s="8">
        <v>1202</v>
      </c>
      <c r="B68" s="9">
        <v>0</v>
      </c>
      <c r="C68" s="9">
        <v>0</v>
      </c>
      <c r="D68" s="9">
        <f>B68-C68</f>
        <v>0</v>
      </c>
    </row>
    <row r="69" spans="1:4" x14ac:dyDescent="0.25">
      <c r="A69" s="8">
        <v>2202</v>
      </c>
      <c r="B69" s="9">
        <v>0</v>
      </c>
      <c r="C69" s="9">
        <v>0</v>
      </c>
      <c r="D69" s="9">
        <f>B69-B69</f>
        <v>0</v>
      </c>
    </row>
    <row r="70" spans="1:4" x14ac:dyDescent="0.25">
      <c r="A70" s="6" t="s">
        <v>9</v>
      </c>
      <c r="B70" s="11">
        <f>B66-B67-B68-B69</f>
        <v>0</v>
      </c>
      <c r="C70" s="11">
        <v>0</v>
      </c>
      <c r="D70" s="11">
        <f>D66-D67-D68-B69</f>
        <v>0</v>
      </c>
    </row>
    <row r="71" spans="1:4" x14ac:dyDescent="0.25">
      <c r="B71" t="s">
        <v>10</v>
      </c>
    </row>
  </sheetData>
  <mergeCells count="2">
    <mergeCell ref="A1:D1"/>
    <mergeCell ref="A4:D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"/>
  <sheetViews>
    <sheetView topLeftCell="A70" zoomScaleNormal="100" workbookViewId="0">
      <selection activeCell="A74" sqref="A74"/>
    </sheetView>
  </sheetViews>
  <sheetFormatPr defaultRowHeight="15" x14ac:dyDescent="0.25"/>
  <cols>
    <col min="1" max="1" width="14.7109375" customWidth="1"/>
    <col min="2" max="3" width="11.7109375" customWidth="1"/>
    <col min="4" max="4" width="8.7109375" customWidth="1"/>
    <col min="5" max="5" width="25" customWidth="1"/>
    <col min="6" max="6" width="11.7109375" customWidth="1"/>
    <col min="7" max="7" width="10" customWidth="1"/>
    <col min="8" max="1025" width="8.7109375" customWidth="1"/>
  </cols>
  <sheetData>
    <row r="1" spans="1:5" ht="21" x14ac:dyDescent="0.35">
      <c r="A1" s="75" t="s">
        <v>0</v>
      </c>
      <c r="B1" s="75"/>
      <c r="C1" s="75"/>
      <c r="D1" s="75"/>
    </row>
    <row r="4" spans="1:5" ht="21" x14ac:dyDescent="0.35">
      <c r="A4" s="76" t="s">
        <v>1</v>
      </c>
      <c r="B4" s="76"/>
      <c r="C4" s="76"/>
      <c r="D4" s="76"/>
      <c r="E4" s="76"/>
    </row>
    <row r="5" spans="1:5" x14ac:dyDescent="0.25">
      <c r="A5" s="12" t="s">
        <v>2</v>
      </c>
      <c r="B5" s="12" t="s">
        <v>5</v>
      </c>
    </row>
    <row r="6" spans="1:5" x14ac:dyDescent="0.25">
      <c r="A6" s="8">
        <v>5101</v>
      </c>
      <c r="B6" s="9">
        <f>'PRATICA M'!D6+'PRATICA FL SP'!D6</f>
        <v>251326.4</v>
      </c>
    </row>
    <row r="7" spans="1:5" x14ac:dyDescent="0.25">
      <c r="A7" s="8">
        <v>5102</v>
      </c>
      <c r="B7" s="9">
        <f>'PRATICA M'!D7+'PRATICA FL SP'!D7</f>
        <v>0</v>
      </c>
    </row>
    <row r="8" spans="1:5" x14ac:dyDescent="0.25">
      <c r="A8" s="8">
        <v>5103</v>
      </c>
      <c r="B8" s="9">
        <v>0</v>
      </c>
    </row>
    <row r="9" spans="1:5" x14ac:dyDescent="0.25">
      <c r="A9" s="8">
        <v>5104</v>
      </c>
      <c r="B9" s="9">
        <f>'PRATICA M'!D9+'PRATICA FL SP'!D9</f>
        <v>0</v>
      </c>
    </row>
    <row r="10" spans="1:5" x14ac:dyDescent="0.25">
      <c r="A10" s="8">
        <v>5105</v>
      </c>
      <c r="B10" s="9">
        <f>'PRATICA M'!D10+'PRATICA FL SP'!D10</f>
        <v>0</v>
      </c>
    </row>
    <row r="11" spans="1:5" x14ac:dyDescent="0.25">
      <c r="A11" s="8">
        <v>5106</v>
      </c>
      <c r="B11" s="9">
        <f>'PRATICA M'!D11+'PRATICA FL SP'!D11</f>
        <v>0</v>
      </c>
    </row>
    <row r="12" spans="1:5" x14ac:dyDescent="0.25">
      <c r="A12" s="8">
        <v>5109</v>
      </c>
      <c r="B12" s="9">
        <f>'PRATICA M'!D12+'PRATICA FL SP'!D12</f>
        <v>0</v>
      </c>
    </row>
    <row r="13" spans="1:5" x14ac:dyDescent="0.25">
      <c r="A13" s="8">
        <v>5110</v>
      </c>
      <c r="B13" s="9">
        <f>'PRATICA M'!D13+'PRATICA FL SP'!D13</f>
        <v>0</v>
      </c>
    </row>
    <row r="14" spans="1:5" x14ac:dyDescent="0.25">
      <c r="A14" s="8">
        <v>5111</v>
      </c>
      <c r="B14" s="9">
        <f>'PRATICA M'!D14+'PRATICA FL SP'!D14</f>
        <v>0</v>
      </c>
    </row>
    <row r="15" spans="1:5" x14ac:dyDescent="0.25">
      <c r="A15" s="8">
        <v>5112</v>
      </c>
      <c r="B15" s="9">
        <f>'PRATICA M'!D15+'PRATICA FL SP'!D15</f>
        <v>0</v>
      </c>
    </row>
    <row r="16" spans="1:5" x14ac:dyDescent="0.25">
      <c r="A16" s="8">
        <v>5113</v>
      </c>
      <c r="B16" s="9">
        <f>'PRATICA M'!D16+'PRATICA FL SP'!D16</f>
        <v>0</v>
      </c>
    </row>
    <row r="17" spans="1:2" x14ac:dyDescent="0.25">
      <c r="A17" s="8">
        <v>5114</v>
      </c>
      <c r="B17" s="9">
        <f>'PRATICA M'!D17+'PRATICA FL SP'!D17</f>
        <v>0</v>
      </c>
    </row>
    <row r="18" spans="1:2" x14ac:dyDescent="0.25">
      <c r="A18" s="8">
        <v>5115</v>
      </c>
      <c r="B18" s="9">
        <f>'PRATICA M'!D18+'PRATICA FL SP'!D18</f>
        <v>0</v>
      </c>
    </row>
    <row r="19" spans="1:2" x14ac:dyDescent="0.25">
      <c r="A19" s="8">
        <v>5116</v>
      </c>
      <c r="B19" s="9">
        <f>'PRATICA M'!D19+'PRATICA FL SP'!D19</f>
        <v>0</v>
      </c>
    </row>
    <row r="20" spans="1:2" x14ac:dyDescent="0.25">
      <c r="A20" s="8">
        <v>5117</v>
      </c>
      <c r="B20" s="9">
        <f>'PRATICA M'!D20+'PRATICA FL SP'!D20</f>
        <v>0</v>
      </c>
    </row>
    <row r="21" spans="1:2" x14ac:dyDescent="0.25">
      <c r="A21" s="8">
        <v>5118</v>
      </c>
      <c r="B21" s="9">
        <f>'PRATICA M'!D21+'PRATICA FL SP'!D21</f>
        <v>0</v>
      </c>
    </row>
    <row r="22" spans="1:2" x14ac:dyDescent="0.25">
      <c r="A22" s="8">
        <v>5119</v>
      </c>
      <c r="B22" s="9">
        <f>'PRATICA M'!D22+'PRATICA FL SP'!D22</f>
        <v>0</v>
      </c>
    </row>
    <row r="23" spans="1:2" x14ac:dyDescent="0.25">
      <c r="A23" s="8">
        <v>5120</v>
      </c>
      <c r="B23" s="9">
        <f>'PRATICA M'!D23+'PRATICA FL SP'!D23</f>
        <v>0</v>
      </c>
    </row>
    <row r="24" spans="1:2" x14ac:dyDescent="0.25">
      <c r="A24" s="8">
        <v>5122</v>
      </c>
      <c r="B24" s="9">
        <f>'PRATICA M'!D24+'PRATICA FL SP'!D24</f>
        <v>0</v>
      </c>
    </row>
    <row r="25" spans="1:2" x14ac:dyDescent="0.25">
      <c r="A25" s="8">
        <v>5123</v>
      </c>
      <c r="B25" s="9">
        <f>'PRATICA M'!D25+'PRATICA FL SP'!D25</f>
        <v>0</v>
      </c>
    </row>
    <row r="26" spans="1:2" x14ac:dyDescent="0.25">
      <c r="A26" s="8">
        <v>5124</v>
      </c>
      <c r="B26" s="9">
        <f>'PRATICA M'!D26+'PRATICA FL SP'!D26</f>
        <v>0</v>
      </c>
    </row>
    <row r="27" spans="1:2" x14ac:dyDescent="0.25">
      <c r="A27" s="8">
        <v>5125</v>
      </c>
      <c r="B27" s="9">
        <f>'PRATICA M'!D27+'PRATICA FL SP'!D27</f>
        <v>0</v>
      </c>
    </row>
    <row r="28" spans="1:2" x14ac:dyDescent="0.25">
      <c r="A28" s="8">
        <v>5405</v>
      </c>
      <c r="B28" s="9">
        <v>0</v>
      </c>
    </row>
    <row r="29" spans="1:2" x14ac:dyDescent="0.25">
      <c r="A29" s="8">
        <v>5501</v>
      </c>
      <c r="B29" s="9">
        <f>'PRATICA M'!D29+'PRATICA FL SP'!D29</f>
        <v>0</v>
      </c>
    </row>
    <row r="30" spans="1:2" x14ac:dyDescent="0.25">
      <c r="A30" s="8">
        <v>5502</v>
      </c>
      <c r="B30" s="9">
        <f>'PRATICA M'!D30+'PRATICA FL SP'!D30</f>
        <v>0</v>
      </c>
    </row>
    <row r="31" spans="1:2" x14ac:dyDescent="0.25">
      <c r="A31" s="8">
        <v>5933</v>
      </c>
      <c r="B31" s="9">
        <f>'PRATICA M'!D31+'PRATICA FL SP'!D31</f>
        <v>174.05</v>
      </c>
    </row>
    <row r="32" spans="1:2" x14ac:dyDescent="0.25">
      <c r="A32" s="8">
        <v>6101</v>
      </c>
      <c r="B32" s="9">
        <f>'PRATICA M'!D32+'PRATICA FL SP'!D32</f>
        <v>57318.5</v>
      </c>
    </row>
    <row r="33" spans="1:2" x14ac:dyDescent="0.25">
      <c r="A33" s="8">
        <v>6102</v>
      </c>
      <c r="B33" s="9">
        <f>'PRATICA M'!D33+'PRATICA FL SP'!D33</f>
        <v>0</v>
      </c>
    </row>
    <row r="34" spans="1:2" x14ac:dyDescent="0.25">
      <c r="A34" s="8">
        <v>6103</v>
      </c>
      <c r="B34" s="9">
        <v>0</v>
      </c>
    </row>
    <row r="35" spans="1:2" x14ac:dyDescent="0.25">
      <c r="A35" s="8">
        <v>6104</v>
      </c>
      <c r="B35" s="9">
        <f>'PRATICA M'!D35+'PRATICA FL SP'!D35</f>
        <v>0</v>
      </c>
    </row>
    <row r="36" spans="1:2" x14ac:dyDescent="0.25">
      <c r="A36" s="8">
        <v>6105</v>
      </c>
      <c r="B36" s="9">
        <f>'PRATICA M'!D36+'PRATICA FL SP'!D36</f>
        <v>0</v>
      </c>
    </row>
    <row r="37" spans="1:2" x14ac:dyDescent="0.25">
      <c r="A37" s="8">
        <v>6106</v>
      </c>
      <c r="B37" s="9">
        <f>'PRATICA M'!D37+'PRATICA FL SP'!D37</f>
        <v>0</v>
      </c>
    </row>
    <row r="38" spans="1:2" x14ac:dyDescent="0.25">
      <c r="A38" s="8">
        <v>6107</v>
      </c>
      <c r="B38" s="9">
        <f>'PRATICA M'!D38+'PRATICA FL SP'!D38</f>
        <v>0</v>
      </c>
    </row>
    <row r="39" spans="1:2" x14ac:dyDescent="0.25">
      <c r="A39" s="8">
        <v>6108</v>
      </c>
      <c r="B39" s="9">
        <f>'PRATICA M'!D39+'PRATICA FL SP'!D39</f>
        <v>0</v>
      </c>
    </row>
    <row r="40" spans="1:2" x14ac:dyDescent="0.25">
      <c r="A40" s="8">
        <v>6109</v>
      </c>
      <c r="B40" s="9">
        <f>'PRATICA M'!D40+'PRATICA FL SP'!D40</f>
        <v>0</v>
      </c>
    </row>
    <row r="41" spans="1:2" x14ac:dyDescent="0.25">
      <c r="A41" s="8">
        <v>6110</v>
      </c>
      <c r="B41" s="9">
        <v>0</v>
      </c>
    </row>
    <row r="42" spans="1:2" x14ac:dyDescent="0.25">
      <c r="A42" s="8">
        <v>6111</v>
      </c>
      <c r="B42" s="9">
        <f>'PRATICA M'!D42+'PRATICA FL SP'!D42</f>
        <v>0</v>
      </c>
    </row>
    <row r="43" spans="1:2" x14ac:dyDescent="0.25">
      <c r="A43" s="8">
        <v>6112</v>
      </c>
      <c r="B43" s="9">
        <f>'PRATICA M'!D43+'PRATICA FL SP'!D43</f>
        <v>0</v>
      </c>
    </row>
    <row r="44" spans="1:2" x14ac:dyDescent="0.25">
      <c r="A44" s="8">
        <v>6113</v>
      </c>
      <c r="B44" s="9">
        <f>'PRATICA M'!D44+'PRATICA FL SP'!D44</f>
        <v>0</v>
      </c>
    </row>
    <row r="45" spans="1:2" x14ac:dyDescent="0.25">
      <c r="A45" s="8">
        <v>6114</v>
      </c>
      <c r="B45" s="9">
        <f>'PRATICA M'!D45+'PRATICA FL SP'!D45</f>
        <v>0</v>
      </c>
    </row>
    <row r="46" spans="1:2" x14ac:dyDescent="0.25">
      <c r="A46" s="8">
        <v>6115</v>
      </c>
      <c r="B46" s="9">
        <f>'PRATICA M'!D46+'PRATICA FL SP'!D46</f>
        <v>0</v>
      </c>
    </row>
    <row r="47" spans="1:2" x14ac:dyDescent="0.25">
      <c r="A47" s="8">
        <v>6116</v>
      </c>
      <c r="B47" s="9">
        <f>'PRATICA M'!D47+'PRATICA FL SP'!D47</f>
        <v>0</v>
      </c>
    </row>
    <row r="48" spans="1:2" x14ac:dyDescent="0.25">
      <c r="A48" s="8">
        <v>6117</v>
      </c>
      <c r="B48" s="9">
        <f>'PRATICA M'!D48+'PRATICA FL SP'!D48</f>
        <v>0</v>
      </c>
    </row>
    <row r="49" spans="1:2" x14ac:dyDescent="0.25">
      <c r="A49" s="8">
        <v>6118</v>
      </c>
      <c r="B49" s="9">
        <f>'PRATICA M'!D49+'PRATICA FL SP'!D49</f>
        <v>0</v>
      </c>
    </row>
    <row r="50" spans="1:2" x14ac:dyDescent="0.25">
      <c r="A50" s="8">
        <v>6119</v>
      </c>
      <c r="B50" s="9">
        <f>'PRATICA M'!D50+'PRATICA FL SP'!D50</f>
        <v>0</v>
      </c>
    </row>
    <row r="51" spans="1:2" x14ac:dyDescent="0.25">
      <c r="A51" s="8">
        <v>6120</v>
      </c>
      <c r="B51" s="9">
        <f>'PRATICA M'!D51+'PRATICA FL SP'!D51</f>
        <v>0</v>
      </c>
    </row>
    <row r="52" spans="1:2" x14ac:dyDescent="0.25">
      <c r="A52" s="8">
        <v>6122</v>
      </c>
      <c r="B52" s="9">
        <f>'PRATICA M'!D52+'PRATICA FL SP'!D52</f>
        <v>0</v>
      </c>
    </row>
    <row r="53" spans="1:2" x14ac:dyDescent="0.25">
      <c r="A53" s="8">
        <v>6123</v>
      </c>
      <c r="B53" s="9">
        <f>'PRATICA M'!D53+'PRATICA FL SP'!D53</f>
        <v>0</v>
      </c>
    </row>
    <row r="54" spans="1:2" x14ac:dyDescent="0.25">
      <c r="A54" s="8">
        <v>6124</v>
      </c>
      <c r="B54" s="9">
        <f>'PRATICA M'!D54+'PRATICA FL SP'!D54</f>
        <v>0</v>
      </c>
    </row>
    <row r="55" spans="1:2" x14ac:dyDescent="0.25">
      <c r="A55" s="8">
        <v>6125</v>
      </c>
      <c r="B55" s="9">
        <f>'PRATICA M'!D55+'PRATICA FL SP'!D55</f>
        <v>0</v>
      </c>
    </row>
    <row r="56" spans="1:2" x14ac:dyDescent="0.25">
      <c r="A56" s="8">
        <v>6404</v>
      </c>
      <c r="B56" s="9">
        <f>'PRATICA M'!D56+'PRATICA FL SP'!D56</f>
        <v>0</v>
      </c>
    </row>
    <row r="57" spans="1:2" x14ac:dyDescent="0.25">
      <c r="A57" s="8">
        <v>6501</v>
      </c>
      <c r="B57" s="9">
        <f>'PRATICA M'!D57+'PRATICA FL SP'!D57</f>
        <v>0</v>
      </c>
    </row>
    <row r="58" spans="1:2" x14ac:dyDescent="0.25">
      <c r="A58" s="8">
        <v>6502</v>
      </c>
      <c r="B58" s="9">
        <f>'PRATICA M'!D58+'PRATICA FL SP'!D58</f>
        <v>0</v>
      </c>
    </row>
    <row r="59" spans="1:2" x14ac:dyDescent="0.25">
      <c r="A59" s="8">
        <v>6933</v>
      </c>
      <c r="B59" s="9">
        <f>'PRATICA M'!D59+'PRATICA FL SP'!D59</f>
        <v>52.3</v>
      </c>
    </row>
    <row r="60" spans="1:2" x14ac:dyDescent="0.25">
      <c r="A60" s="8">
        <v>7101</v>
      </c>
      <c r="B60" s="9">
        <f>'PRATICA M'!D60+'PRATICA FL SP'!D60</f>
        <v>0</v>
      </c>
    </row>
    <row r="61" spans="1:2" x14ac:dyDescent="0.25">
      <c r="A61" s="8">
        <v>7102</v>
      </c>
      <c r="B61" s="9">
        <f>'PRATICA M'!D61+'PRATICA FL SP'!D61</f>
        <v>0</v>
      </c>
    </row>
    <row r="62" spans="1:2" x14ac:dyDescent="0.25">
      <c r="A62" s="8">
        <v>7105</v>
      </c>
      <c r="B62" s="9">
        <f>'PRATICA M'!D62+'PRATICA FL SP'!D62</f>
        <v>0</v>
      </c>
    </row>
    <row r="63" spans="1:2" x14ac:dyDescent="0.25">
      <c r="A63" s="8">
        <v>7106</v>
      </c>
      <c r="B63" s="9">
        <f>'PRATICA M'!D63+'PRATICA FL SP'!D63</f>
        <v>0</v>
      </c>
    </row>
    <row r="64" spans="1:2" x14ac:dyDescent="0.25">
      <c r="A64" s="8">
        <v>7127</v>
      </c>
      <c r="B64" s="9">
        <f>'PRATICA M'!D64+'PRATICA FL SP'!D64</f>
        <v>0</v>
      </c>
    </row>
    <row r="65" spans="1:7" x14ac:dyDescent="0.25">
      <c r="A65" s="8">
        <v>7501</v>
      </c>
      <c r="B65" s="9">
        <f>'PRATICA M'!D65+'PRATICA FL SP'!D65</f>
        <v>0</v>
      </c>
    </row>
    <row r="66" spans="1:7" x14ac:dyDescent="0.25">
      <c r="A66" s="6" t="s">
        <v>7</v>
      </c>
      <c r="B66" s="11">
        <f>SUM(B6:B65)</f>
        <v>308871.24999999994</v>
      </c>
    </row>
    <row r="67" spans="1:7" x14ac:dyDescent="0.25">
      <c r="A67" s="8">
        <v>1201</v>
      </c>
      <c r="B67" s="14">
        <f>'PRATICA M'!D67+'PRATICA FL SP'!D67</f>
        <v>0</v>
      </c>
    </row>
    <row r="68" spans="1:7" x14ac:dyDescent="0.25">
      <c r="A68" s="8">
        <v>1202</v>
      </c>
      <c r="B68" s="14">
        <f>'PRATICA M'!D68+'PRATICA FL SP'!D68</f>
        <v>0</v>
      </c>
    </row>
    <row r="69" spans="1:7" x14ac:dyDescent="0.25">
      <c r="A69" s="8">
        <v>2201</v>
      </c>
      <c r="B69" s="14">
        <f>'PRATICA M'!D69</f>
        <v>0</v>
      </c>
    </row>
    <row r="70" spans="1:7" x14ac:dyDescent="0.25">
      <c r="A70" s="8">
        <v>2202</v>
      </c>
      <c r="B70" s="14">
        <f>'PRATICA M'!D70+'PRATICA FL SP'!D69</f>
        <v>0</v>
      </c>
    </row>
    <row r="71" spans="1:7" x14ac:dyDescent="0.25">
      <c r="A71" s="8">
        <v>3201</v>
      </c>
      <c r="B71" s="14">
        <f>'PRATICA M'!D71+'PRATICA FL SP'!D72</f>
        <v>0</v>
      </c>
    </row>
    <row r="72" spans="1:7" x14ac:dyDescent="0.25">
      <c r="A72" s="15" t="s">
        <v>9</v>
      </c>
      <c r="B72" s="7">
        <f>'PRATICA M'!D72+'PRATICA FL SP'!D70</f>
        <v>308871.24999999994</v>
      </c>
    </row>
    <row r="74" spans="1:7" x14ac:dyDescent="0.25">
      <c r="A74" t="s">
        <v>11</v>
      </c>
      <c r="E74" t="s">
        <v>12</v>
      </c>
    </row>
    <row r="76" spans="1:7" x14ac:dyDescent="0.25">
      <c r="A76" s="8" t="s">
        <v>13</v>
      </c>
      <c r="B76" s="8" t="s">
        <v>14</v>
      </c>
      <c r="C76" s="8" t="s">
        <v>15</v>
      </c>
      <c r="E76" s="8" t="s">
        <v>13</v>
      </c>
      <c r="F76" s="8" t="s">
        <v>14</v>
      </c>
      <c r="G76" s="8" t="s">
        <v>15</v>
      </c>
    </row>
    <row r="77" spans="1:7" x14ac:dyDescent="0.25">
      <c r="A77" s="16">
        <v>0.08</v>
      </c>
      <c r="B77" s="9">
        <f>B72-B59-B31-B9</f>
        <v>308644.89999999997</v>
      </c>
      <c r="C77" s="9">
        <f>B77*A77</f>
        <v>24691.591999999997</v>
      </c>
      <c r="E77" s="17">
        <v>6.4999999999999997E-3</v>
      </c>
      <c r="F77" s="9">
        <f>B72-B12-B13-F79-B29-B57-B30-B58-B60-B61-B62-B63-B64-B65+B71</f>
        <v>308871.24999999994</v>
      </c>
      <c r="G77" s="9">
        <f>F77*E77</f>
        <v>2007.6631249999996</v>
      </c>
    </row>
    <row r="78" spans="1:7" x14ac:dyDescent="0.25">
      <c r="A78" s="16">
        <v>0.32</v>
      </c>
      <c r="B78" s="9">
        <f>B59+B31+B9</f>
        <v>226.35000000000002</v>
      </c>
      <c r="C78" s="9">
        <f>B78*A78</f>
        <v>72.432000000000002</v>
      </c>
      <c r="E78" s="17" t="s">
        <v>16</v>
      </c>
      <c r="F78" s="9">
        <v>0</v>
      </c>
      <c r="G78" s="9">
        <f>F78*E77</f>
        <v>0</v>
      </c>
    </row>
    <row r="79" spans="1:7" x14ac:dyDescent="0.25">
      <c r="A79" s="6" t="s">
        <v>7</v>
      </c>
      <c r="B79" s="6"/>
      <c r="C79" s="11">
        <f>C77+C78</f>
        <v>24764.023999999998</v>
      </c>
      <c r="E79" s="6" t="s">
        <v>7</v>
      </c>
      <c r="F79" s="6"/>
      <c r="G79" s="11">
        <f>G77-G78</f>
        <v>2007.6631249999996</v>
      </c>
    </row>
    <row r="80" spans="1:7" x14ac:dyDescent="0.25">
      <c r="A80" s="8" t="s">
        <v>17</v>
      </c>
      <c r="B80" s="8"/>
      <c r="C80" s="9">
        <v>0</v>
      </c>
      <c r="E80" s="8" t="s">
        <v>17</v>
      </c>
      <c r="F80" s="8"/>
      <c r="G80" s="9">
        <v>0</v>
      </c>
    </row>
    <row r="81" spans="1:7" x14ac:dyDescent="0.25">
      <c r="A81" s="15" t="s">
        <v>18</v>
      </c>
      <c r="B81" s="15"/>
      <c r="C81" s="7">
        <f>C79+C80</f>
        <v>24764.023999999998</v>
      </c>
      <c r="E81" s="15" t="s">
        <v>18</v>
      </c>
      <c r="F81" s="15"/>
      <c r="G81" s="7">
        <f>G79+G80</f>
        <v>2007.6631249999996</v>
      </c>
    </row>
    <row r="82" spans="1:7" x14ac:dyDescent="0.25">
      <c r="A82" s="8" t="s">
        <v>19</v>
      </c>
      <c r="B82" s="18"/>
      <c r="C82" s="14">
        <f>C81*15%</f>
        <v>3714.6035999999995</v>
      </c>
      <c r="E82" s="18" t="s">
        <v>20</v>
      </c>
      <c r="F82" s="18"/>
      <c r="G82" s="14">
        <v>0</v>
      </c>
    </row>
    <row r="83" spans="1:7" x14ac:dyDescent="0.25">
      <c r="A83" s="18" t="s">
        <v>21</v>
      </c>
      <c r="B83" s="18"/>
      <c r="C83" s="14">
        <f>IF(C81&gt;20000,(C81-20000)*0.1)</f>
        <v>476.40239999999977</v>
      </c>
      <c r="E83" s="15" t="s">
        <v>22</v>
      </c>
      <c r="F83" s="15"/>
      <c r="G83" s="7">
        <f>G81-G82</f>
        <v>2007.6631249999996</v>
      </c>
    </row>
    <row r="84" spans="1:7" x14ac:dyDescent="0.25">
      <c r="A84" s="18" t="s">
        <v>23</v>
      </c>
      <c r="B84" s="18"/>
      <c r="C84" s="14">
        <v>0</v>
      </c>
    </row>
    <row r="85" spans="1:7" x14ac:dyDescent="0.25">
      <c r="A85" s="15" t="s">
        <v>24</v>
      </c>
      <c r="B85" s="15"/>
      <c r="C85" s="7">
        <f>C82+C83-C84</f>
        <v>4191.0059999999994</v>
      </c>
    </row>
    <row r="87" spans="1:7" x14ac:dyDescent="0.25">
      <c r="A87" t="s">
        <v>25</v>
      </c>
    </row>
    <row r="88" spans="1:7" x14ac:dyDescent="0.25">
      <c r="E88" t="s">
        <v>26</v>
      </c>
    </row>
    <row r="89" spans="1:7" x14ac:dyDescent="0.25">
      <c r="A89" s="8" t="s">
        <v>13</v>
      </c>
      <c r="B89" s="8" t="s">
        <v>14</v>
      </c>
      <c r="C89" s="8" t="s">
        <v>15</v>
      </c>
    </row>
    <row r="90" spans="1:7" x14ac:dyDescent="0.25">
      <c r="A90" s="16">
        <v>0.12</v>
      </c>
      <c r="B90" s="9">
        <f>B72-B59-B31-B9</f>
        <v>308644.89999999997</v>
      </c>
      <c r="C90" s="9">
        <f>B90*A90</f>
        <v>37037.387999999992</v>
      </c>
      <c r="E90" s="8" t="s">
        <v>13</v>
      </c>
      <c r="F90" s="8" t="s">
        <v>14</v>
      </c>
      <c r="G90" s="8" t="s">
        <v>15</v>
      </c>
    </row>
    <row r="91" spans="1:7" x14ac:dyDescent="0.25">
      <c r="A91" s="16">
        <v>0.32</v>
      </c>
      <c r="B91" s="9">
        <f>B59+B31+B9</f>
        <v>226.35000000000002</v>
      </c>
      <c r="C91" s="9">
        <f>B91*A91</f>
        <v>72.432000000000002</v>
      </c>
      <c r="E91" s="17">
        <v>0.03</v>
      </c>
      <c r="F91" s="9">
        <f>B72-B12-B13-F79-B29-B57-B30-B58-B60-B61-B62-B63-B64-B65+B71</f>
        <v>308871.24999999994</v>
      </c>
      <c r="G91" s="9">
        <f>F91*E91</f>
        <v>9266.1374999999971</v>
      </c>
    </row>
    <row r="92" spans="1:7" x14ac:dyDescent="0.25">
      <c r="A92" s="6" t="s">
        <v>7</v>
      </c>
      <c r="B92" s="6"/>
      <c r="C92" s="11">
        <f>C90+C91</f>
        <v>37109.819999999992</v>
      </c>
      <c r="E92" s="17" t="s">
        <v>16</v>
      </c>
      <c r="F92" s="9">
        <v>0</v>
      </c>
      <c r="G92" s="9">
        <f>F92*E91</f>
        <v>0</v>
      </c>
    </row>
    <row r="93" spans="1:7" x14ac:dyDescent="0.25">
      <c r="A93" s="8" t="s">
        <v>17</v>
      </c>
      <c r="B93" s="8"/>
      <c r="C93" s="9">
        <v>0</v>
      </c>
      <c r="E93" s="6" t="s">
        <v>7</v>
      </c>
      <c r="F93" s="6"/>
      <c r="G93" s="11">
        <f>G91-G92</f>
        <v>9266.1374999999971</v>
      </c>
    </row>
    <row r="94" spans="1:7" x14ac:dyDescent="0.25">
      <c r="A94" s="15" t="s">
        <v>18</v>
      </c>
      <c r="B94" s="15"/>
      <c r="C94" s="7">
        <f>C92+C93</f>
        <v>37109.819999999992</v>
      </c>
      <c r="E94" s="8" t="s">
        <v>17</v>
      </c>
      <c r="F94" s="8"/>
      <c r="G94" s="9">
        <v>0</v>
      </c>
    </row>
    <row r="95" spans="1:7" x14ac:dyDescent="0.25">
      <c r="A95" s="8" t="s">
        <v>27</v>
      </c>
      <c r="B95" s="18"/>
      <c r="C95" s="14">
        <f>C94*9%</f>
        <v>3339.8837999999992</v>
      </c>
      <c r="E95" s="15" t="s">
        <v>18</v>
      </c>
      <c r="F95" s="15"/>
      <c r="G95" s="7">
        <f>G93+G94</f>
        <v>9266.1374999999971</v>
      </c>
    </row>
    <row r="96" spans="1:7" x14ac:dyDescent="0.25">
      <c r="A96" s="18" t="s">
        <v>28</v>
      </c>
      <c r="B96" s="18"/>
      <c r="C96" s="14">
        <v>0</v>
      </c>
      <c r="E96" s="18" t="s">
        <v>29</v>
      </c>
      <c r="F96" s="18"/>
      <c r="G96" s="14">
        <v>0</v>
      </c>
    </row>
    <row r="97" spans="1:7" x14ac:dyDescent="0.25">
      <c r="A97" s="15" t="s">
        <v>30</v>
      </c>
      <c r="B97" s="15"/>
      <c r="C97" s="7">
        <f>C95-C96</f>
        <v>3339.8837999999992</v>
      </c>
      <c r="E97" s="15" t="s">
        <v>31</v>
      </c>
      <c r="F97" s="15"/>
      <c r="G97" s="7">
        <f>G95-G96</f>
        <v>9266.1374999999971</v>
      </c>
    </row>
    <row r="100" spans="1:7" x14ac:dyDescent="0.25">
      <c r="G100" t="s">
        <v>32</v>
      </c>
    </row>
  </sheetData>
  <mergeCells count="2">
    <mergeCell ref="A1:D1"/>
    <mergeCell ref="A4:E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zoomScaleNormal="100" workbookViewId="0">
      <selection activeCell="G25" sqref="G25"/>
    </sheetView>
  </sheetViews>
  <sheetFormatPr defaultRowHeight="15" x14ac:dyDescent="0.25"/>
  <cols>
    <col min="1" max="1" width="25.28515625" customWidth="1"/>
    <col min="2" max="3" width="20" customWidth="1"/>
    <col min="4" max="4" width="8.7109375" customWidth="1"/>
    <col min="5" max="5" width="19.7109375" customWidth="1"/>
    <col min="6" max="6" width="7.5703125" customWidth="1"/>
    <col min="7" max="7" width="5.85546875" customWidth="1"/>
    <col min="8" max="1025" width="8.7109375" customWidth="1"/>
  </cols>
  <sheetData>
    <row r="1" spans="1:7" s="5" customFormat="1" x14ac:dyDescent="0.25">
      <c r="A1" s="5" t="s">
        <v>11</v>
      </c>
      <c r="E1" s="5" t="s">
        <v>12</v>
      </c>
    </row>
    <row r="3" spans="1:7" x14ac:dyDescent="0.25">
      <c r="A3" s="8" t="s">
        <v>13</v>
      </c>
      <c r="B3" s="8" t="s">
        <v>14</v>
      </c>
      <c r="C3" s="8" t="s">
        <v>15</v>
      </c>
      <c r="E3" s="8" t="s">
        <v>13</v>
      </c>
      <c r="F3" s="8" t="s">
        <v>14</v>
      </c>
      <c r="G3" s="8" t="s">
        <v>15</v>
      </c>
    </row>
    <row r="4" spans="1:7" x14ac:dyDescent="0.25">
      <c r="A4" s="16">
        <v>0.08</v>
      </c>
      <c r="B4" s="9">
        <v>0</v>
      </c>
      <c r="C4" s="9">
        <f>B4*A4</f>
        <v>0</v>
      </c>
      <c r="E4" s="17">
        <v>6.4999999999999997E-3</v>
      </c>
      <c r="F4" s="9" t="e">
        <f>#REF!-#REF!-#REF!-F6-#REF!-#REF!-#REF!-#REF!-#REF!-#REF!-#REF!-#REF!-#REF!-#REF!+#REF!</f>
        <v>#REF!</v>
      </c>
      <c r="G4" s="9" t="e">
        <f>F4*E4</f>
        <v>#REF!</v>
      </c>
    </row>
    <row r="5" spans="1:7" x14ac:dyDescent="0.25">
      <c r="A5" s="16">
        <v>0.32</v>
      </c>
      <c r="B5" s="9">
        <v>0</v>
      </c>
      <c r="C5" s="9">
        <f>B5*A5</f>
        <v>0</v>
      </c>
      <c r="E5" s="17" t="s">
        <v>16</v>
      </c>
      <c r="F5" s="9">
        <v>0</v>
      </c>
      <c r="G5" s="9">
        <f>F5*E4</f>
        <v>0</v>
      </c>
    </row>
    <row r="6" spans="1:7" x14ac:dyDescent="0.25">
      <c r="A6" s="6" t="s">
        <v>7</v>
      </c>
      <c r="B6" s="6"/>
      <c r="C6" s="11">
        <f>C4+C5</f>
        <v>0</v>
      </c>
      <c r="E6" s="6" t="s">
        <v>7</v>
      </c>
      <c r="F6" s="6"/>
      <c r="G6" s="11" t="e">
        <f>G4-G5</f>
        <v>#REF!</v>
      </c>
    </row>
    <row r="7" spans="1:7" x14ac:dyDescent="0.25">
      <c r="A7" s="8" t="s">
        <v>17</v>
      </c>
      <c r="B7" s="8"/>
      <c r="C7" s="9">
        <v>0</v>
      </c>
      <c r="E7" s="8" t="s">
        <v>17</v>
      </c>
      <c r="F7" s="8"/>
      <c r="G7" s="9">
        <v>0</v>
      </c>
    </row>
    <row r="8" spans="1:7" x14ac:dyDescent="0.25">
      <c r="A8" s="15" t="s">
        <v>18</v>
      </c>
      <c r="B8" s="15"/>
      <c r="C8" s="7">
        <f>C6+C7</f>
        <v>0</v>
      </c>
      <c r="E8" s="15" t="s">
        <v>18</v>
      </c>
      <c r="F8" s="15"/>
      <c r="G8" s="7" t="e">
        <f>G6+G7</f>
        <v>#REF!</v>
      </c>
    </row>
    <row r="9" spans="1:7" x14ac:dyDescent="0.25">
      <c r="A9" s="8" t="s">
        <v>19</v>
      </c>
      <c r="B9" s="18"/>
      <c r="C9" s="14">
        <f>C8*15%</f>
        <v>0</v>
      </c>
      <c r="E9" s="18" t="s">
        <v>20</v>
      </c>
      <c r="F9" s="18"/>
      <c r="G9" s="14">
        <v>0</v>
      </c>
    </row>
    <row r="10" spans="1:7" x14ac:dyDescent="0.25">
      <c r="A10" s="18" t="s">
        <v>21</v>
      </c>
      <c r="B10" s="18"/>
      <c r="C10" s="14" t="b">
        <f>IF(C8&gt;20000,(C8-20000)*0.1)</f>
        <v>0</v>
      </c>
      <c r="E10" s="15" t="s">
        <v>22</v>
      </c>
      <c r="F10" s="15"/>
      <c r="G10" s="7" t="e">
        <f>G8-G9</f>
        <v>#REF!</v>
      </c>
    </row>
    <row r="11" spans="1:7" x14ac:dyDescent="0.25">
      <c r="A11" s="18" t="s">
        <v>23</v>
      </c>
      <c r="B11" s="18"/>
      <c r="C11" s="14"/>
    </row>
    <row r="12" spans="1:7" x14ac:dyDescent="0.25">
      <c r="A12" s="15" t="s">
        <v>24</v>
      </c>
      <c r="B12" s="15"/>
      <c r="C12" s="7">
        <f>C9+C10-C11</f>
        <v>0</v>
      </c>
    </row>
    <row r="14" spans="1:7" s="5" customFormat="1" x14ac:dyDescent="0.25">
      <c r="A14" s="5" t="s">
        <v>25</v>
      </c>
    </row>
    <row r="15" spans="1:7" x14ac:dyDescent="0.25">
      <c r="E15" s="5" t="s">
        <v>26</v>
      </c>
    </row>
    <row r="16" spans="1:7" x14ac:dyDescent="0.25">
      <c r="A16" s="8" t="s">
        <v>13</v>
      </c>
      <c r="B16" s="8" t="s">
        <v>14</v>
      </c>
      <c r="C16" s="8" t="s">
        <v>15</v>
      </c>
    </row>
    <row r="17" spans="1:7" x14ac:dyDescent="0.25">
      <c r="A17" s="16">
        <v>0.12</v>
      </c>
      <c r="B17" s="9" t="e">
        <f>#REF!-#REF!-#REF!-#REF!</f>
        <v>#REF!</v>
      </c>
      <c r="C17" s="9" t="e">
        <f>B17*A17</f>
        <v>#REF!</v>
      </c>
      <c r="E17" s="8" t="s">
        <v>13</v>
      </c>
      <c r="F17" s="8" t="s">
        <v>14</v>
      </c>
      <c r="G17" s="8" t="s">
        <v>15</v>
      </c>
    </row>
    <row r="18" spans="1:7" x14ac:dyDescent="0.25">
      <c r="A18" s="16">
        <v>0.32</v>
      </c>
      <c r="B18" s="9" t="e">
        <f>#REF!+#REF!+#REF!</f>
        <v>#REF!</v>
      </c>
      <c r="C18" s="9" t="e">
        <f>B18*A18</f>
        <v>#REF!</v>
      </c>
      <c r="E18" s="17">
        <v>0.03</v>
      </c>
      <c r="F18" s="9" t="e">
        <f>#REF!-#REF!-#REF!-F6-#REF!-#REF!-#REF!-#REF!-#REF!-#REF!-#REF!-#REF!-#REF!-#REF!+#REF!</f>
        <v>#REF!</v>
      </c>
      <c r="G18" s="9" t="e">
        <f>F18*E18</f>
        <v>#REF!</v>
      </c>
    </row>
    <row r="19" spans="1:7" x14ac:dyDescent="0.25">
      <c r="A19" s="6" t="s">
        <v>7</v>
      </c>
      <c r="B19" s="6"/>
      <c r="C19" s="11" t="e">
        <f>C17+C18</f>
        <v>#REF!</v>
      </c>
      <c r="E19" s="17" t="s">
        <v>16</v>
      </c>
      <c r="F19" s="9">
        <v>0</v>
      </c>
      <c r="G19" s="9">
        <f>F19*E18</f>
        <v>0</v>
      </c>
    </row>
    <row r="20" spans="1:7" x14ac:dyDescent="0.25">
      <c r="A20" s="8" t="s">
        <v>17</v>
      </c>
      <c r="B20" s="8"/>
      <c r="C20" s="9">
        <v>0</v>
      </c>
      <c r="E20" s="6" t="s">
        <v>7</v>
      </c>
      <c r="F20" s="6"/>
      <c r="G20" s="11" t="e">
        <f>G18-G19</f>
        <v>#REF!</v>
      </c>
    </row>
    <row r="21" spans="1:7" x14ac:dyDescent="0.25">
      <c r="A21" s="15" t="s">
        <v>18</v>
      </c>
      <c r="B21" s="15"/>
      <c r="C21" s="7" t="e">
        <f>C19+C20</f>
        <v>#REF!</v>
      </c>
      <c r="E21" s="8" t="s">
        <v>17</v>
      </c>
      <c r="F21" s="8"/>
      <c r="G21" s="9">
        <v>0</v>
      </c>
    </row>
    <row r="22" spans="1:7" x14ac:dyDescent="0.25">
      <c r="A22" s="8" t="s">
        <v>27</v>
      </c>
      <c r="B22" s="18"/>
      <c r="C22" s="14" t="e">
        <f>C21*9%</f>
        <v>#REF!</v>
      </c>
      <c r="E22" s="15" t="s">
        <v>18</v>
      </c>
      <c r="F22" s="15"/>
      <c r="G22" s="7" t="e">
        <f>G20+G21</f>
        <v>#REF!</v>
      </c>
    </row>
    <row r="23" spans="1:7" x14ac:dyDescent="0.25">
      <c r="A23" s="18" t="s">
        <v>28</v>
      </c>
      <c r="B23" s="18"/>
      <c r="C23" s="14">
        <v>0</v>
      </c>
      <c r="E23" s="18" t="s">
        <v>29</v>
      </c>
      <c r="F23" s="18"/>
      <c r="G23" s="14">
        <v>0</v>
      </c>
    </row>
    <row r="24" spans="1:7" x14ac:dyDescent="0.25">
      <c r="A24" s="15" t="s">
        <v>30</v>
      </c>
      <c r="B24" s="15"/>
      <c r="C24" s="7" t="e">
        <f>C22-C23</f>
        <v>#REF!</v>
      </c>
      <c r="E24" s="15" t="s">
        <v>31</v>
      </c>
      <c r="F24" s="15"/>
      <c r="G24" s="7" t="e">
        <f>G22-G23</f>
        <v>#REF!</v>
      </c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4"/>
  <sheetViews>
    <sheetView zoomScaleNormal="100" workbookViewId="0"/>
  </sheetViews>
  <sheetFormatPr defaultRowHeight="15" x14ac:dyDescent="0.25"/>
  <cols>
    <col min="1" max="1" width="19.5703125" customWidth="1"/>
    <col min="2" max="2" width="9.140625" style="19" customWidth="1"/>
    <col min="3" max="9" width="14.28515625" customWidth="1"/>
    <col min="10" max="10" width="14.28515625" style="20" customWidth="1"/>
    <col min="11" max="14" width="14.28515625" customWidth="1"/>
    <col min="15" max="15" width="15.85546875" hidden="1" customWidth="1"/>
    <col min="16" max="16" width="14.28515625" style="20" customWidth="1"/>
    <col min="17" max="1025" width="8.7109375" customWidth="1"/>
  </cols>
  <sheetData>
    <row r="1" spans="1:16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38</v>
      </c>
      <c r="G1" s="23" t="s">
        <v>39</v>
      </c>
      <c r="H1" s="23" t="s">
        <v>40</v>
      </c>
      <c r="I1" s="23" t="s">
        <v>41</v>
      </c>
      <c r="J1" s="23" t="s">
        <v>42</v>
      </c>
      <c r="K1" s="23" t="s">
        <v>43</v>
      </c>
      <c r="L1" s="23" t="s">
        <v>44</v>
      </c>
      <c r="M1" s="23" t="s">
        <v>45</v>
      </c>
      <c r="N1" s="23" t="s">
        <v>46</v>
      </c>
      <c r="O1" s="23" t="s">
        <v>47</v>
      </c>
      <c r="P1" s="23" t="s">
        <v>48</v>
      </c>
    </row>
    <row r="2" spans="1:16" x14ac:dyDescent="0.25">
      <c r="A2" s="24" t="s">
        <v>49</v>
      </c>
      <c r="B2" s="25"/>
      <c r="C2" s="26">
        <v>334197.5</v>
      </c>
      <c r="D2" s="26">
        <v>461121.7</v>
      </c>
      <c r="E2" s="26">
        <f>251639.62-11609.98</f>
        <v>240029.63999999998</v>
      </c>
      <c r="F2" s="26"/>
      <c r="G2" s="26"/>
      <c r="H2" s="26"/>
      <c r="I2" s="26"/>
      <c r="J2" s="26"/>
      <c r="K2" s="26"/>
      <c r="L2" s="26"/>
      <c r="M2" s="26"/>
      <c r="N2" s="26"/>
      <c r="O2" s="27"/>
      <c r="P2" s="26"/>
    </row>
    <row r="3" spans="1:16" x14ac:dyDescent="0.25">
      <c r="A3" s="24" t="s">
        <v>50</v>
      </c>
      <c r="B3" s="25">
        <v>0.08</v>
      </c>
      <c r="C3" s="26">
        <f t="shared" ref="C3:N3" si="0">C2*$B$3</f>
        <v>26735.8</v>
      </c>
      <c r="D3" s="26">
        <f t="shared" si="0"/>
        <v>36889.736000000004</v>
      </c>
      <c r="E3" s="26">
        <f t="shared" si="0"/>
        <v>19202.371199999998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  <c r="M3" s="26">
        <f t="shared" si="0"/>
        <v>0</v>
      </c>
      <c r="N3" s="26">
        <f t="shared" si="0"/>
        <v>0</v>
      </c>
      <c r="O3" s="27"/>
      <c r="P3" s="26"/>
    </row>
    <row r="4" spans="1:16" x14ac:dyDescent="0.25">
      <c r="A4" s="24" t="s">
        <v>51</v>
      </c>
      <c r="B4" s="25"/>
      <c r="C4" s="26">
        <v>183.1</v>
      </c>
      <c r="D4" s="26">
        <v>39</v>
      </c>
      <c r="E4" s="26">
        <v>67.55</v>
      </c>
      <c r="F4" s="26"/>
      <c r="G4" s="26"/>
      <c r="H4" s="26"/>
      <c r="I4" s="26"/>
      <c r="J4" s="26"/>
      <c r="K4" s="26"/>
      <c r="L4" s="26"/>
      <c r="M4" s="26"/>
      <c r="N4" s="26"/>
      <c r="O4" s="27"/>
      <c r="P4" s="26"/>
    </row>
    <row r="5" spans="1:16" x14ac:dyDescent="0.25">
      <c r="A5" s="24" t="s">
        <v>50</v>
      </c>
      <c r="B5" s="25">
        <v>0.32</v>
      </c>
      <c r="C5" s="26">
        <f t="shared" ref="C5:N5" si="1">C4*$B$5</f>
        <v>58.591999999999999</v>
      </c>
      <c r="D5" s="26">
        <f t="shared" si="1"/>
        <v>12.48</v>
      </c>
      <c r="E5" s="26">
        <f t="shared" si="1"/>
        <v>21.616</v>
      </c>
      <c r="F5" s="26">
        <f t="shared" si="1"/>
        <v>0</v>
      </c>
      <c r="G5" s="26">
        <f t="shared" si="1"/>
        <v>0</v>
      </c>
      <c r="H5" s="26">
        <f t="shared" si="1"/>
        <v>0</v>
      </c>
      <c r="I5" s="26">
        <f t="shared" si="1"/>
        <v>0</v>
      </c>
      <c r="J5" s="26">
        <f t="shared" si="1"/>
        <v>0</v>
      </c>
      <c r="K5" s="26">
        <f t="shared" si="1"/>
        <v>0</v>
      </c>
      <c r="L5" s="26">
        <f t="shared" si="1"/>
        <v>0</v>
      </c>
      <c r="M5" s="26">
        <f t="shared" si="1"/>
        <v>0</v>
      </c>
      <c r="N5" s="26">
        <f t="shared" si="1"/>
        <v>0</v>
      </c>
      <c r="O5" s="27"/>
      <c r="P5" s="26"/>
    </row>
    <row r="6" spans="1:16" x14ac:dyDescent="0.25">
      <c r="A6" s="24" t="s">
        <v>52</v>
      </c>
      <c r="B6" s="25"/>
      <c r="C6" s="26">
        <f>C3+$C$5</f>
        <v>26794.392</v>
      </c>
      <c r="D6" s="26">
        <f t="shared" ref="D6:N6" si="2">D3+D5</f>
        <v>36902.216000000008</v>
      </c>
      <c r="E6" s="26">
        <f t="shared" si="2"/>
        <v>19223.9872</v>
      </c>
      <c r="F6" s="26">
        <f t="shared" si="2"/>
        <v>0</v>
      </c>
      <c r="G6" s="26">
        <f t="shared" si="2"/>
        <v>0</v>
      </c>
      <c r="H6" s="26">
        <f t="shared" si="2"/>
        <v>0</v>
      </c>
      <c r="I6" s="26">
        <f t="shared" si="2"/>
        <v>0</v>
      </c>
      <c r="J6" s="26">
        <f t="shared" si="2"/>
        <v>0</v>
      </c>
      <c r="K6" s="26">
        <f t="shared" si="2"/>
        <v>0</v>
      </c>
      <c r="L6" s="26">
        <f t="shared" si="2"/>
        <v>0</v>
      </c>
      <c r="M6" s="26">
        <f t="shared" si="2"/>
        <v>0</v>
      </c>
      <c r="N6" s="26">
        <f t="shared" si="2"/>
        <v>0</v>
      </c>
      <c r="O6" s="27"/>
      <c r="P6" s="26"/>
    </row>
    <row r="7" spans="1:16" x14ac:dyDescent="0.25">
      <c r="A7" s="24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6"/>
    </row>
    <row r="8" spans="1:16" x14ac:dyDescent="0.25">
      <c r="A8" s="24"/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26"/>
    </row>
    <row r="9" spans="1:16" x14ac:dyDescent="0.25">
      <c r="A9" s="24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  <c r="P9" s="26"/>
    </row>
    <row r="10" spans="1:16" x14ac:dyDescent="0.25">
      <c r="A10" s="24"/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</row>
    <row r="11" spans="1:16" x14ac:dyDescent="0.25">
      <c r="A11" s="24" t="s">
        <v>53</v>
      </c>
      <c r="B11" s="25"/>
      <c r="C11" s="26">
        <v>3355.92</v>
      </c>
      <c r="D11" s="26">
        <v>3832.25</v>
      </c>
      <c r="E11" s="26">
        <v>4477.8500000000004</v>
      </c>
      <c r="F11" s="26"/>
      <c r="G11" s="26"/>
      <c r="H11" s="26"/>
      <c r="I11" s="26"/>
      <c r="J11" s="26"/>
      <c r="K11" s="26"/>
      <c r="L11" s="26"/>
      <c r="M11" s="26"/>
      <c r="N11" s="26"/>
      <c r="O11" s="27"/>
      <c r="P11" s="26"/>
    </row>
    <row r="12" spans="1:16" x14ac:dyDescent="0.25">
      <c r="A12" s="24" t="s">
        <v>54</v>
      </c>
      <c r="B12" s="25"/>
      <c r="C12" s="26">
        <f t="shared" ref="C12:N12" si="3">C6+C11</f>
        <v>30150.311999999998</v>
      </c>
      <c r="D12" s="26">
        <f t="shared" si="3"/>
        <v>40734.466000000008</v>
      </c>
      <c r="E12" s="26">
        <f t="shared" si="3"/>
        <v>23701.837200000002</v>
      </c>
      <c r="F12" s="26">
        <f t="shared" si="3"/>
        <v>0</v>
      </c>
      <c r="G12" s="26">
        <f t="shared" si="3"/>
        <v>0</v>
      </c>
      <c r="H12" s="26">
        <f t="shared" si="3"/>
        <v>0</v>
      </c>
      <c r="I12" s="26">
        <f t="shared" si="3"/>
        <v>0</v>
      </c>
      <c r="J12" s="26">
        <f t="shared" si="3"/>
        <v>0</v>
      </c>
      <c r="K12" s="26">
        <f t="shared" si="3"/>
        <v>0</v>
      </c>
      <c r="L12" s="26">
        <f t="shared" si="3"/>
        <v>0</v>
      </c>
      <c r="M12" s="26">
        <f t="shared" si="3"/>
        <v>0</v>
      </c>
      <c r="N12" s="26">
        <f t="shared" si="3"/>
        <v>0</v>
      </c>
      <c r="O12" s="27"/>
      <c r="P12" s="26"/>
    </row>
    <row r="13" spans="1:16" x14ac:dyDescent="0.25">
      <c r="A13" s="24" t="s">
        <v>19</v>
      </c>
      <c r="B13" s="25">
        <v>0.15</v>
      </c>
      <c r="C13" s="26">
        <f t="shared" ref="C13:N13" si="4">C12*$B$13</f>
        <v>4522.5467999999992</v>
      </c>
      <c r="D13" s="26">
        <f t="shared" si="4"/>
        <v>6110.1699000000008</v>
      </c>
      <c r="E13" s="26">
        <f t="shared" si="4"/>
        <v>3555.27558</v>
      </c>
      <c r="F13" s="26">
        <f t="shared" si="4"/>
        <v>0</v>
      </c>
      <c r="G13" s="26">
        <f t="shared" si="4"/>
        <v>0</v>
      </c>
      <c r="H13" s="26">
        <f t="shared" si="4"/>
        <v>0</v>
      </c>
      <c r="I13" s="26">
        <f t="shared" si="4"/>
        <v>0</v>
      </c>
      <c r="J13" s="26">
        <f t="shared" si="4"/>
        <v>0</v>
      </c>
      <c r="K13" s="26">
        <f t="shared" si="4"/>
        <v>0</v>
      </c>
      <c r="L13" s="26">
        <f t="shared" si="4"/>
        <v>0</v>
      </c>
      <c r="M13" s="26">
        <f t="shared" si="4"/>
        <v>0</v>
      </c>
      <c r="N13" s="26">
        <f t="shared" si="4"/>
        <v>0</v>
      </c>
      <c r="O13" s="27"/>
      <c r="P13" s="26"/>
    </row>
    <row r="14" spans="1:16" x14ac:dyDescent="0.25">
      <c r="A14" s="24" t="s">
        <v>55</v>
      </c>
      <c r="B14" s="25"/>
      <c r="C14" s="26">
        <f t="shared" ref="C14:P14" si="5">IF(C12&gt;20000,(C12-20000)*0.1," ")</f>
        <v>1015.0311999999999</v>
      </c>
      <c r="D14" s="26">
        <f t="shared" si="5"/>
        <v>2073.4466000000007</v>
      </c>
      <c r="E14" s="26">
        <f t="shared" si="5"/>
        <v>370.18372000000022</v>
      </c>
      <c r="F14" s="26" t="str">
        <f t="shared" si="5"/>
        <v xml:space="preserve"> </v>
      </c>
      <c r="G14" s="26" t="str">
        <f t="shared" si="5"/>
        <v xml:space="preserve"> </v>
      </c>
      <c r="H14" s="26" t="str">
        <f t="shared" si="5"/>
        <v xml:space="preserve"> </v>
      </c>
      <c r="I14" s="26" t="str">
        <f t="shared" si="5"/>
        <v xml:space="preserve"> </v>
      </c>
      <c r="J14" s="26" t="str">
        <f t="shared" si="5"/>
        <v xml:space="preserve"> </v>
      </c>
      <c r="K14" s="26" t="str">
        <f t="shared" si="5"/>
        <v xml:space="preserve"> </v>
      </c>
      <c r="L14" s="26" t="str">
        <f t="shared" si="5"/>
        <v xml:space="preserve"> </v>
      </c>
      <c r="M14" s="26" t="str">
        <f t="shared" si="5"/>
        <v xml:space="preserve"> </v>
      </c>
      <c r="N14" s="26" t="str">
        <f t="shared" si="5"/>
        <v xml:space="preserve"> </v>
      </c>
      <c r="O14" s="26" t="str">
        <f t="shared" si="5"/>
        <v xml:space="preserve"> </v>
      </c>
      <c r="P14" s="26" t="str">
        <f t="shared" si="5"/>
        <v xml:space="preserve"> </v>
      </c>
    </row>
    <row r="15" spans="1:16" x14ac:dyDescent="0.25">
      <c r="A15" s="24" t="s">
        <v>56</v>
      </c>
      <c r="B15" s="25"/>
      <c r="C15" s="26">
        <v>24.04</v>
      </c>
      <c r="D15" s="26">
        <v>1932.08</v>
      </c>
      <c r="E15" s="26">
        <v>115.1</v>
      </c>
      <c r="F15" s="26"/>
      <c r="G15" s="26"/>
      <c r="H15" s="26"/>
      <c r="I15" s="26"/>
      <c r="J15" s="26"/>
      <c r="K15" s="26"/>
      <c r="L15" s="26"/>
      <c r="M15" s="26"/>
      <c r="N15" s="26"/>
      <c r="O15" s="27"/>
      <c r="P15" s="26"/>
    </row>
    <row r="16" spans="1:16" s="30" customFormat="1" x14ac:dyDescent="0.25">
      <c r="A16" s="28" t="s">
        <v>57</v>
      </c>
      <c r="B16" s="29"/>
      <c r="C16" s="29">
        <f t="shared" ref="C16:P16" si="6">SUM(C13:C14)-C15</f>
        <v>5513.5379999999996</v>
      </c>
      <c r="D16" s="29">
        <f t="shared" si="6"/>
        <v>6251.536500000002</v>
      </c>
      <c r="E16" s="29">
        <f t="shared" si="6"/>
        <v>3810.3593000000005</v>
      </c>
      <c r="F16" s="29">
        <f t="shared" si="6"/>
        <v>0</v>
      </c>
      <c r="G16" s="29">
        <f t="shared" si="6"/>
        <v>0</v>
      </c>
      <c r="H16" s="29">
        <f t="shared" si="6"/>
        <v>0</v>
      </c>
      <c r="I16" s="29">
        <f t="shared" si="6"/>
        <v>0</v>
      </c>
      <c r="J16" s="29">
        <f t="shared" si="6"/>
        <v>0</v>
      </c>
      <c r="K16" s="29">
        <f t="shared" si="6"/>
        <v>0</v>
      </c>
      <c r="L16" s="29">
        <f t="shared" si="6"/>
        <v>0</v>
      </c>
      <c r="M16" s="29">
        <f t="shared" si="6"/>
        <v>0</v>
      </c>
      <c r="N16" s="29">
        <f t="shared" si="6"/>
        <v>0</v>
      </c>
      <c r="O16" s="29">
        <f t="shared" si="6"/>
        <v>0</v>
      </c>
      <c r="P16" s="29">
        <f t="shared" si="6"/>
        <v>0</v>
      </c>
    </row>
    <row r="17" spans="1:16" x14ac:dyDescent="0.25">
      <c r="A17" s="24" t="s">
        <v>49</v>
      </c>
      <c r="B17" s="25"/>
      <c r="C17" s="31">
        <f t="shared" ref="C17:N17" si="7">C2</f>
        <v>334197.5</v>
      </c>
      <c r="D17" s="31">
        <f t="shared" si="7"/>
        <v>461121.7</v>
      </c>
      <c r="E17" s="31">
        <f t="shared" si="7"/>
        <v>240029.63999999998</v>
      </c>
      <c r="F17" s="31">
        <f t="shared" si="7"/>
        <v>0</v>
      </c>
      <c r="G17" s="31">
        <f t="shared" si="7"/>
        <v>0</v>
      </c>
      <c r="H17" s="31">
        <f t="shared" si="7"/>
        <v>0</v>
      </c>
      <c r="I17" s="31">
        <f t="shared" si="7"/>
        <v>0</v>
      </c>
      <c r="J17" s="31">
        <f t="shared" si="7"/>
        <v>0</v>
      </c>
      <c r="K17" s="31">
        <f t="shared" si="7"/>
        <v>0</v>
      </c>
      <c r="L17" s="31">
        <f t="shared" si="7"/>
        <v>0</v>
      </c>
      <c r="M17" s="31">
        <f t="shared" si="7"/>
        <v>0</v>
      </c>
      <c r="N17" s="31">
        <f t="shared" si="7"/>
        <v>0</v>
      </c>
      <c r="O17" s="27"/>
      <c r="P17" s="31"/>
    </row>
    <row r="18" spans="1:16" x14ac:dyDescent="0.25">
      <c r="A18" s="24" t="s">
        <v>58</v>
      </c>
      <c r="B18" s="25">
        <v>0.12</v>
      </c>
      <c r="C18" s="31">
        <f t="shared" ref="C18:N18" si="8">C17*$B$18</f>
        <v>40103.699999999997</v>
      </c>
      <c r="D18" s="31">
        <f t="shared" si="8"/>
        <v>55334.603999999999</v>
      </c>
      <c r="E18" s="31">
        <f t="shared" si="8"/>
        <v>28803.556799999998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31">
        <f t="shared" si="8"/>
        <v>0</v>
      </c>
      <c r="J18" s="31">
        <f t="shared" si="8"/>
        <v>0</v>
      </c>
      <c r="K18" s="31">
        <f t="shared" si="8"/>
        <v>0</v>
      </c>
      <c r="L18" s="31">
        <f t="shared" si="8"/>
        <v>0</v>
      </c>
      <c r="M18" s="31">
        <f t="shared" si="8"/>
        <v>0</v>
      </c>
      <c r="N18" s="31">
        <f t="shared" si="8"/>
        <v>0</v>
      </c>
      <c r="O18" s="27"/>
      <c r="P18" s="31"/>
    </row>
    <row r="19" spans="1:16" x14ac:dyDescent="0.25">
      <c r="A19" s="24" t="s">
        <v>51</v>
      </c>
      <c r="B19" s="25"/>
      <c r="C19" s="31">
        <f t="shared" ref="C19:N19" si="9">C4</f>
        <v>183.1</v>
      </c>
      <c r="D19" s="31">
        <f t="shared" si="9"/>
        <v>39</v>
      </c>
      <c r="E19" s="31">
        <f t="shared" si="9"/>
        <v>67.55</v>
      </c>
      <c r="F19" s="31">
        <f t="shared" si="9"/>
        <v>0</v>
      </c>
      <c r="G19" s="31">
        <f t="shared" si="9"/>
        <v>0</v>
      </c>
      <c r="H19" s="31">
        <f t="shared" si="9"/>
        <v>0</v>
      </c>
      <c r="I19" s="31">
        <f t="shared" si="9"/>
        <v>0</v>
      </c>
      <c r="J19" s="31">
        <f t="shared" si="9"/>
        <v>0</v>
      </c>
      <c r="K19" s="31">
        <f t="shared" si="9"/>
        <v>0</v>
      </c>
      <c r="L19" s="31">
        <f t="shared" si="9"/>
        <v>0</v>
      </c>
      <c r="M19" s="31">
        <f t="shared" si="9"/>
        <v>0</v>
      </c>
      <c r="N19" s="31">
        <f t="shared" si="9"/>
        <v>0</v>
      </c>
      <c r="O19" s="27"/>
      <c r="P19" s="31"/>
    </row>
    <row r="20" spans="1:16" x14ac:dyDescent="0.25">
      <c r="A20" s="24" t="s">
        <v>58</v>
      </c>
      <c r="B20" s="25">
        <v>0.32</v>
      </c>
      <c r="C20" s="31">
        <f t="shared" ref="C20:N20" si="10">C19*$B$20</f>
        <v>58.591999999999999</v>
      </c>
      <c r="D20" s="31">
        <f t="shared" si="10"/>
        <v>12.48</v>
      </c>
      <c r="E20" s="31">
        <f t="shared" si="10"/>
        <v>21.616</v>
      </c>
      <c r="F20" s="31">
        <f t="shared" si="10"/>
        <v>0</v>
      </c>
      <c r="G20" s="31">
        <f t="shared" si="10"/>
        <v>0</v>
      </c>
      <c r="H20" s="31">
        <f t="shared" si="10"/>
        <v>0</v>
      </c>
      <c r="I20" s="31">
        <f t="shared" si="10"/>
        <v>0</v>
      </c>
      <c r="J20" s="31">
        <f t="shared" si="10"/>
        <v>0</v>
      </c>
      <c r="K20" s="31">
        <f t="shared" si="10"/>
        <v>0</v>
      </c>
      <c r="L20" s="31">
        <f t="shared" si="10"/>
        <v>0</v>
      </c>
      <c r="M20" s="31">
        <f t="shared" si="10"/>
        <v>0</v>
      </c>
      <c r="N20" s="31">
        <f t="shared" si="10"/>
        <v>0</v>
      </c>
      <c r="O20" s="27"/>
      <c r="P20" s="31"/>
    </row>
    <row r="21" spans="1:16" x14ac:dyDescent="0.25">
      <c r="A21" s="24" t="s">
        <v>52</v>
      </c>
      <c r="B21" s="25"/>
      <c r="C21" s="31">
        <f t="shared" ref="C21:N21" si="11">C18+C20</f>
        <v>40162.291999999994</v>
      </c>
      <c r="D21" s="31">
        <f t="shared" si="11"/>
        <v>55347.084000000003</v>
      </c>
      <c r="E21" s="31">
        <f t="shared" si="11"/>
        <v>28825.1728</v>
      </c>
      <c r="F21" s="31">
        <f t="shared" si="11"/>
        <v>0</v>
      </c>
      <c r="G21" s="31">
        <f t="shared" si="11"/>
        <v>0</v>
      </c>
      <c r="H21" s="31">
        <f t="shared" si="11"/>
        <v>0</v>
      </c>
      <c r="I21" s="31">
        <f t="shared" si="11"/>
        <v>0</v>
      </c>
      <c r="J21" s="31">
        <f t="shared" si="11"/>
        <v>0</v>
      </c>
      <c r="K21" s="31">
        <f t="shared" si="11"/>
        <v>0</v>
      </c>
      <c r="L21" s="31">
        <f t="shared" si="11"/>
        <v>0</v>
      </c>
      <c r="M21" s="31">
        <f t="shared" si="11"/>
        <v>0</v>
      </c>
      <c r="N21" s="31">
        <f t="shared" si="11"/>
        <v>0</v>
      </c>
      <c r="O21" s="27"/>
      <c r="P21" s="31"/>
    </row>
    <row r="22" spans="1:16" x14ac:dyDescent="0.25">
      <c r="A22" s="24" t="s">
        <v>53</v>
      </c>
      <c r="B22" s="25"/>
      <c r="C22" s="31"/>
      <c r="D22" s="31"/>
      <c r="E22" s="31"/>
      <c r="F22" s="31"/>
      <c r="G22" s="31"/>
      <c r="H22" s="31"/>
      <c r="I22" s="31"/>
      <c r="J22" s="31"/>
      <c r="K22" s="31">
        <f>K11</f>
        <v>0</v>
      </c>
      <c r="L22" s="31">
        <f>L11</f>
        <v>0</v>
      </c>
      <c r="M22" s="31">
        <f>M11</f>
        <v>0</v>
      </c>
      <c r="N22" s="31">
        <f>N11</f>
        <v>0</v>
      </c>
      <c r="O22" s="27"/>
      <c r="P22" s="31"/>
    </row>
    <row r="23" spans="1:16" x14ac:dyDescent="0.25">
      <c r="A23" s="24" t="s">
        <v>54</v>
      </c>
      <c r="B23" s="25"/>
      <c r="C23" s="31">
        <f t="shared" ref="C23:N23" si="12">C21+C22</f>
        <v>40162.291999999994</v>
      </c>
      <c r="D23" s="31">
        <f t="shared" si="12"/>
        <v>55347.084000000003</v>
      </c>
      <c r="E23" s="31">
        <f t="shared" si="12"/>
        <v>28825.1728</v>
      </c>
      <c r="F23" s="31">
        <f t="shared" si="12"/>
        <v>0</v>
      </c>
      <c r="G23" s="31">
        <f t="shared" si="12"/>
        <v>0</v>
      </c>
      <c r="H23" s="31">
        <f t="shared" si="12"/>
        <v>0</v>
      </c>
      <c r="I23" s="31">
        <f t="shared" si="12"/>
        <v>0</v>
      </c>
      <c r="J23" s="31">
        <f t="shared" si="12"/>
        <v>0</v>
      </c>
      <c r="K23" s="31">
        <f t="shared" si="12"/>
        <v>0</v>
      </c>
      <c r="L23" s="31">
        <f t="shared" si="12"/>
        <v>0</v>
      </c>
      <c r="M23" s="31">
        <f t="shared" si="12"/>
        <v>0</v>
      </c>
      <c r="N23" s="31">
        <f t="shared" si="12"/>
        <v>0</v>
      </c>
      <c r="O23" s="27"/>
      <c r="P23" s="31"/>
    </row>
    <row r="24" spans="1:16" x14ac:dyDescent="0.25">
      <c r="A24" s="24" t="s">
        <v>27</v>
      </c>
      <c r="B24" s="25">
        <v>0.09</v>
      </c>
      <c r="C24" s="31">
        <f t="shared" ref="C24:N24" si="13">C23*$B$24</f>
        <v>3614.6062799999995</v>
      </c>
      <c r="D24" s="31">
        <f t="shared" si="13"/>
        <v>4981.2375600000005</v>
      </c>
      <c r="E24" s="31">
        <f t="shared" si="13"/>
        <v>2594.2655519999998</v>
      </c>
      <c r="F24" s="31">
        <f t="shared" si="13"/>
        <v>0</v>
      </c>
      <c r="G24" s="31">
        <f t="shared" si="13"/>
        <v>0</v>
      </c>
      <c r="H24" s="31">
        <f t="shared" si="13"/>
        <v>0</v>
      </c>
      <c r="I24" s="31">
        <f t="shared" si="13"/>
        <v>0</v>
      </c>
      <c r="J24" s="31">
        <f t="shared" si="13"/>
        <v>0</v>
      </c>
      <c r="K24" s="31">
        <f t="shared" si="13"/>
        <v>0</v>
      </c>
      <c r="L24" s="31">
        <f t="shared" si="13"/>
        <v>0</v>
      </c>
      <c r="M24" s="31">
        <f t="shared" si="13"/>
        <v>0</v>
      </c>
      <c r="N24" s="31">
        <f t="shared" si="13"/>
        <v>0</v>
      </c>
      <c r="O24" s="27"/>
      <c r="P24" s="31"/>
    </row>
    <row r="25" spans="1:16" x14ac:dyDescent="0.25">
      <c r="A25" s="24" t="s">
        <v>59</v>
      </c>
      <c r="B25" s="2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27"/>
      <c r="P25" s="31"/>
    </row>
    <row r="26" spans="1:16" s="5" customFormat="1" ht="15.75" x14ac:dyDescent="0.25">
      <c r="A26" s="32" t="s">
        <v>60</v>
      </c>
      <c r="B26" s="33"/>
      <c r="C26" s="29">
        <f t="shared" ref="C26:N26" si="14">C24-C25</f>
        <v>3614.6062799999995</v>
      </c>
      <c r="D26" s="29">
        <f t="shared" si="14"/>
        <v>4981.2375600000005</v>
      </c>
      <c r="E26" s="29">
        <f t="shared" si="14"/>
        <v>2594.2655519999998</v>
      </c>
      <c r="F26" s="29">
        <f t="shared" si="14"/>
        <v>0</v>
      </c>
      <c r="G26" s="29">
        <f t="shared" si="14"/>
        <v>0</v>
      </c>
      <c r="H26" s="29">
        <f t="shared" si="14"/>
        <v>0</v>
      </c>
      <c r="I26" s="29">
        <f t="shared" si="14"/>
        <v>0</v>
      </c>
      <c r="J26" s="29">
        <f t="shared" si="14"/>
        <v>0</v>
      </c>
      <c r="K26" s="29">
        <f t="shared" si="14"/>
        <v>0</v>
      </c>
      <c r="L26" s="29">
        <f t="shared" si="14"/>
        <v>0</v>
      </c>
      <c r="M26" s="29">
        <f t="shared" si="14"/>
        <v>0</v>
      </c>
      <c r="N26" s="29">
        <f t="shared" si="14"/>
        <v>0</v>
      </c>
      <c r="O26" s="34">
        <f>SUM(C26:N26)</f>
        <v>11190.109391999998</v>
      </c>
      <c r="P26" s="29">
        <f>SUM(A26:N26)</f>
        <v>11190.109391999998</v>
      </c>
    </row>
    <row r="27" spans="1:16" x14ac:dyDescent="0.25">
      <c r="A27" s="24" t="s">
        <v>61</v>
      </c>
      <c r="B27" s="25"/>
      <c r="C27" s="31">
        <f t="shared" ref="C27:N27" si="15">C2+C4</f>
        <v>334380.59999999998</v>
      </c>
      <c r="D27" s="31">
        <f t="shared" si="15"/>
        <v>461160.7</v>
      </c>
      <c r="E27" s="31">
        <f t="shared" si="15"/>
        <v>240097.18999999997</v>
      </c>
      <c r="F27" s="31">
        <f t="shared" si="15"/>
        <v>0</v>
      </c>
      <c r="G27" s="31">
        <f t="shared" si="15"/>
        <v>0</v>
      </c>
      <c r="H27" s="31">
        <f t="shared" si="15"/>
        <v>0</v>
      </c>
      <c r="I27" s="31">
        <f t="shared" si="15"/>
        <v>0</v>
      </c>
      <c r="J27" s="31">
        <f t="shared" si="15"/>
        <v>0</v>
      </c>
      <c r="K27" s="31">
        <f t="shared" si="15"/>
        <v>0</v>
      </c>
      <c r="L27" s="31">
        <f t="shared" si="15"/>
        <v>0</v>
      </c>
      <c r="M27" s="31">
        <f t="shared" si="15"/>
        <v>0</v>
      </c>
      <c r="N27" s="31">
        <f t="shared" si="15"/>
        <v>0</v>
      </c>
      <c r="O27" s="27"/>
      <c r="P27" s="31"/>
    </row>
    <row r="28" spans="1:16" x14ac:dyDescent="0.25">
      <c r="A28" s="24" t="s">
        <v>62</v>
      </c>
      <c r="B28" s="35">
        <v>6.4999999999999997E-3</v>
      </c>
      <c r="C28" s="31">
        <f t="shared" ref="C28:N28" si="16">C27*$B$28</f>
        <v>2173.4739</v>
      </c>
      <c r="D28" s="31">
        <f t="shared" si="16"/>
        <v>2997.5445500000001</v>
      </c>
      <c r="E28" s="31">
        <f t="shared" si="16"/>
        <v>1560.6317349999997</v>
      </c>
      <c r="F28" s="31">
        <f t="shared" si="16"/>
        <v>0</v>
      </c>
      <c r="G28" s="31">
        <f t="shared" si="16"/>
        <v>0</v>
      </c>
      <c r="H28" s="31">
        <f t="shared" si="16"/>
        <v>0</v>
      </c>
      <c r="I28" s="31">
        <f t="shared" si="16"/>
        <v>0</v>
      </c>
      <c r="J28" s="31">
        <f t="shared" si="16"/>
        <v>0</v>
      </c>
      <c r="K28" s="31">
        <f t="shared" si="16"/>
        <v>0</v>
      </c>
      <c r="L28" s="31">
        <f t="shared" si="16"/>
        <v>0</v>
      </c>
      <c r="M28" s="31">
        <f t="shared" si="16"/>
        <v>0</v>
      </c>
      <c r="N28" s="31">
        <f t="shared" si="16"/>
        <v>0</v>
      </c>
      <c r="O28" s="27"/>
      <c r="P28" s="31"/>
    </row>
    <row r="29" spans="1:16" x14ac:dyDescent="0.25">
      <c r="A29" s="24" t="s">
        <v>63</v>
      </c>
      <c r="B29" s="2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27"/>
      <c r="P29" s="31"/>
    </row>
    <row r="30" spans="1:16" s="5" customFormat="1" ht="15.75" x14ac:dyDescent="0.25">
      <c r="A30" s="32" t="s">
        <v>64</v>
      </c>
      <c r="B30" s="33"/>
      <c r="C30" s="29">
        <f t="shared" ref="C30:N30" si="17">C28-C29</f>
        <v>2173.4739</v>
      </c>
      <c r="D30" s="29">
        <f t="shared" si="17"/>
        <v>2997.5445500000001</v>
      </c>
      <c r="E30" s="29">
        <f t="shared" si="17"/>
        <v>1560.6317349999997</v>
      </c>
      <c r="F30" s="29">
        <f t="shared" si="17"/>
        <v>0</v>
      </c>
      <c r="G30" s="29">
        <f t="shared" si="17"/>
        <v>0</v>
      </c>
      <c r="H30" s="29">
        <f t="shared" si="17"/>
        <v>0</v>
      </c>
      <c r="I30" s="29">
        <f t="shared" si="17"/>
        <v>0</v>
      </c>
      <c r="J30" s="29">
        <f t="shared" si="17"/>
        <v>0</v>
      </c>
      <c r="K30" s="29">
        <f t="shared" si="17"/>
        <v>0</v>
      </c>
      <c r="L30" s="29">
        <f t="shared" si="17"/>
        <v>0</v>
      </c>
      <c r="M30" s="29">
        <f t="shared" si="17"/>
        <v>0</v>
      </c>
      <c r="N30" s="29">
        <f t="shared" si="17"/>
        <v>0</v>
      </c>
      <c r="O30" s="34">
        <f>SUM(C30:N30)</f>
        <v>6731.6501849999995</v>
      </c>
      <c r="P30" s="29">
        <f>SUM(A30:N30)</f>
        <v>6731.6501849999995</v>
      </c>
    </row>
    <row r="31" spans="1:16" x14ac:dyDescent="0.25">
      <c r="A31" s="24" t="s">
        <v>65</v>
      </c>
      <c r="B31" s="25"/>
      <c r="C31" s="31">
        <f t="shared" ref="C31:N31" si="18">C2+C4</f>
        <v>334380.59999999998</v>
      </c>
      <c r="D31" s="31">
        <f t="shared" si="18"/>
        <v>461160.7</v>
      </c>
      <c r="E31" s="31">
        <f t="shared" si="18"/>
        <v>240097.18999999997</v>
      </c>
      <c r="F31" s="31">
        <f t="shared" si="18"/>
        <v>0</v>
      </c>
      <c r="G31" s="31">
        <f t="shared" si="18"/>
        <v>0</v>
      </c>
      <c r="H31" s="31">
        <f t="shared" si="18"/>
        <v>0</v>
      </c>
      <c r="I31" s="31">
        <f t="shared" si="18"/>
        <v>0</v>
      </c>
      <c r="J31" s="31">
        <f t="shared" si="18"/>
        <v>0</v>
      </c>
      <c r="K31" s="31">
        <f t="shared" si="18"/>
        <v>0</v>
      </c>
      <c r="L31" s="31">
        <f t="shared" si="18"/>
        <v>0</v>
      </c>
      <c r="M31" s="31">
        <f t="shared" si="18"/>
        <v>0</v>
      </c>
      <c r="N31" s="31">
        <f t="shared" si="18"/>
        <v>0</v>
      </c>
      <c r="O31" s="27"/>
      <c r="P31" s="31"/>
    </row>
    <row r="32" spans="1:16" x14ac:dyDescent="0.25">
      <c r="A32" s="24" t="s">
        <v>66</v>
      </c>
      <c r="B32" s="35">
        <v>0.03</v>
      </c>
      <c r="C32" s="31">
        <f t="shared" ref="C32:N32" si="19">C31*$B$32</f>
        <v>10031.418</v>
      </c>
      <c r="D32" s="31">
        <f t="shared" si="19"/>
        <v>13834.821</v>
      </c>
      <c r="E32" s="31">
        <f t="shared" si="19"/>
        <v>7202.9156999999987</v>
      </c>
      <c r="F32" s="31">
        <f t="shared" si="19"/>
        <v>0</v>
      </c>
      <c r="G32" s="31">
        <f t="shared" si="19"/>
        <v>0</v>
      </c>
      <c r="H32" s="31">
        <f t="shared" si="19"/>
        <v>0</v>
      </c>
      <c r="I32" s="31">
        <f t="shared" si="19"/>
        <v>0</v>
      </c>
      <c r="J32" s="31">
        <f t="shared" si="19"/>
        <v>0</v>
      </c>
      <c r="K32" s="31">
        <f t="shared" si="19"/>
        <v>0</v>
      </c>
      <c r="L32" s="31">
        <f t="shared" si="19"/>
        <v>0</v>
      </c>
      <c r="M32" s="31">
        <f t="shared" si="19"/>
        <v>0</v>
      </c>
      <c r="N32" s="31">
        <f t="shared" si="19"/>
        <v>0</v>
      </c>
      <c r="O32" s="27"/>
      <c r="P32" s="31"/>
    </row>
    <row r="33" spans="1:16" x14ac:dyDescent="0.25">
      <c r="A33" s="24" t="s">
        <v>67</v>
      </c>
      <c r="B33" s="2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/>
      <c r="P33" s="31"/>
    </row>
    <row r="34" spans="1:16" s="5" customFormat="1" ht="15.75" x14ac:dyDescent="0.25">
      <c r="A34" s="32" t="s">
        <v>68</v>
      </c>
      <c r="B34" s="33"/>
      <c r="C34" s="29">
        <f t="shared" ref="C34:N34" si="20">C32-C33</f>
        <v>10031.418</v>
      </c>
      <c r="D34" s="29">
        <f t="shared" si="20"/>
        <v>13834.821</v>
      </c>
      <c r="E34" s="29">
        <f t="shared" si="20"/>
        <v>7202.9156999999987</v>
      </c>
      <c r="F34" s="29">
        <f t="shared" si="20"/>
        <v>0</v>
      </c>
      <c r="G34" s="29">
        <f t="shared" si="20"/>
        <v>0</v>
      </c>
      <c r="H34" s="29">
        <f t="shared" si="20"/>
        <v>0</v>
      </c>
      <c r="I34" s="29">
        <f t="shared" si="20"/>
        <v>0</v>
      </c>
      <c r="J34" s="29">
        <f t="shared" si="20"/>
        <v>0</v>
      </c>
      <c r="K34" s="29">
        <f t="shared" si="20"/>
        <v>0</v>
      </c>
      <c r="L34" s="29">
        <f t="shared" si="20"/>
        <v>0</v>
      </c>
      <c r="M34" s="29">
        <f t="shared" si="20"/>
        <v>0</v>
      </c>
      <c r="N34" s="29">
        <f t="shared" si="20"/>
        <v>0</v>
      </c>
      <c r="O34" s="34">
        <f>SUM(C34:N34)</f>
        <v>31069.154699999999</v>
      </c>
      <c r="P34" s="29">
        <f>SUM(A34:N34)</f>
        <v>31069.154699999999</v>
      </c>
    </row>
  </sheetData>
  <autoFilter ref="A1:N34" xr:uid="{00000000-0009-0000-0000-000004000000}"/>
  <pageMargins left="0.196527777777778" right="0.196527777777778" top="0.39374999999999999" bottom="0.39374999999999999" header="0.51180555555555496" footer="0.51180555555555496"/>
  <pageSetup paperSize="9" firstPageNumber="0" orientation="landscape" horizontalDpi="300" verticalDpi="30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2"/>
  <sheetViews>
    <sheetView zoomScale="85" zoomScaleNormal="85" workbookViewId="0">
      <selection activeCell="T22" sqref="T22"/>
    </sheetView>
  </sheetViews>
  <sheetFormatPr defaultRowHeight="15" outlineLevelCol="1" x14ac:dyDescent="0.25"/>
  <cols>
    <col min="1" max="1" width="19.5703125" customWidth="1"/>
    <col min="2" max="2" width="9.140625" style="19" customWidth="1"/>
    <col min="3" max="3" width="14.28515625" hidden="1" customWidth="1" outlineLevel="1"/>
    <col min="4" max="5" width="15.42578125" hidden="1" customWidth="1" outlineLevel="1"/>
    <col min="6" max="6" width="17.140625" style="5" customWidth="1"/>
    <col min="7" max="9" width="15.42578125" hidden="1" customWidth="1" outlineLevel="1"/>
    <col min="10" max="10" width="16.140625" style="30" customWidth="1"/>
    <col min="11" max="11" width="15.42578125" hidden="1" customWidth="1" outlineLevel="1"/>
    <col min="12" max="12" width="15.42578125" style="20" hidden="1" customWidth="1" outlineLevel="1"/>
    <col min="13" max="13" width="15.42578125" hidden="1" customWidth="1" outlineLevel="1"/>
    <col min="14" max="14" width="16.42578125" style="5" customWidth="1"/>
    <col min="15" max="17" width="15.42578125" hidden="1" customWidth="1" outlineLevel="1"/>
    <col min="18" max="18" width="16.42578125" style="5" customWidth="1"/>
    <col min="19" max="19" width="15.28515625" customWidth="1"/>
    <col min="20" max="1025" width="8.7109375" customWidth="1"/>
  </cols>
  <sheetData>
    <row r="1" spans="1:19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69</v>
      </c>
      <c r="G1" s="23" t="s">
        <v>38</v>
      </c>
      <c r="H1" s="23" t="s">
        <v>39</v>
      </c>
      <c r="I1" s="23" t="s">
        <v>40</v>
      </c>
      <c r="J1" s="36" t="s">
        <v>70</v>
      </c>
      <c r="K1" s="23" t="s">
        <v>41</v>
      </c>
      <c r="L1" s="23" t="s">
        <v>42</v>
      </c>
      <c r="M1" s="23" t="s">
        <v>43</v>
      </c>
      <c r="N1" s="23" t="s">
        <v>71</v>
      </c>
      <c r="O1" s="23" t="s">
        <v>44</v>
      </c>
      <c r="P1" s="23" t="s">
        <v>45</v>
      </c>
      <c r="Q1" s="23" t="s">
        <v>46</v>
      </c>
      <c r="R1" s="23" t="s">
        <v>72</v>
      </c>
    </row>
    <row r="2" spans="1:19" x14ac:dyDescent="0.25">
      <c r="A2" s="24" t="s">
        <v>49</v>
      </c>
      <c r="B2" s="25"/>
      <c r="C2" s="26">
        <f>349972.06-15774.56</f>
        <v>334197.5</v>
      </c>
      <c r="D2" s="26">
        <f>483587.24-22465.54+400.8</f>
        <v>461522.5</v>
      </c>
      <c r="E2" s="26">
        <f>251639.62-11609.98+4.61</f>
        <v>240034.24999999997</v>
      </c>
      <c r="F2" s="37">
        <f>SUM(C2:E2)</f>
        <v>1035754.25</v>
      </c>
      <c r="G2" s="26">
        <f>346903.52+60</f>
        <v>346963.52</v>
      </c>
      <c r="H2" s="26">
        <v>388805.25</v>
      </c>
      <c r="I2" s="26">
        <v>445629.72</v>
      </c>
      <c r="J2" s="37">
        <f>SUM(G2:I2)</f>
        <v>1181398.49</v>
      </c>
      <c r="K2" s="26">
        <v>348596.12</v>
      </c>
      <c r="L2" s="26">
        <v>339038.88</v>
      </c>
      <c r="M2" s="26">
        <v>328989.03999999998</v>
      </c>
      <c r="N2" s="37">
        <f>SUM(K2:M2)</f>
        <v>1016624.04</v>
      </c>
      <c r="O2" s="26">
        <v>246587.04</v>
      </c>
      <c r="P2" s="26">
        <v>244292.1</v>
      </c>
      <c r="Q2" s="26">
        <v>307067.58</v>
      </c>
      <c r="R2" s="37">
        <f>SUM(O2:Q2)</f>
        <v>797946.72</v>
      </c>
    </row>
    <row r="3" spans="1:19" x14ac:dyDescent="0.25">
      <c r="A3" s="24" t="s">
        <v>50</v>
      </c>
      <c r="B3" s="25">
        <v>0.08</v>
      </c>
      <c r="C3" s="26">
        <f t="shared" ref="C3:R3" si="0">C2*$B$3</f>
        <v>26735.8</v>
      </c>
      <c r="D3" s="26">
        <f t="shared" si="0"/>
        <v>36921.800000000003</v>
      </c>
      <c r="E3" s="26">
        <f t="shared" si="0"/>
        <v>19202.739999999998</v>
      </c>
      <c r="F3" s="37">
        <f t="shared" si="0"/>
        <v>82860.34</v>
      </c>
      <c r="G3" s="26">
        <f t="shared" si="0"/>
        <v>27757.081600000001</v>
      </c>
      <c r="H3" s="26">
        <f t="shared" si="0"/>
        <v>31104.420000000002</v>
      </c>
      <c r="I3" s="26">
        <f t="shared" si="0"/>
        <v>35650.3776</v>
      </c>
      <c r="J3" s="37">
        <f t="shared" si="0"/>
        <v>94511.879199999996</v>
      </c>
      <c r="K3" s="26">
        <f t="shared" si="0"/>
        <v>27887.689600000002</v>
      </c>
      <c r="L3" s="26">
        <f t="shared" si="0"/>
        <v>27123.110400000001</v>
      </c>
      <c r="M3" s="26">
        <f t="shared" si="0"/>
        <v>26319.123199999998</v>
      </c>
      <c r="N3" s="37">
        <f t="shared" si="0"/>
        <v>81329.923200000005</v>
      </c>
      <c r="O3" s="26">
        <f t="shared" si="0"/>
        <v>19726.963200000002</v>
      </c>
      <c r="P3" s="26">
        <f t="shared" si="0"/>
        <v>19543.368000000002</v>
      </c>
      <c r="Q3" s="26">
        <f t="shared" si="0"/>
        <v>24565.406400000003</v>
      </c>
      <c r="R3" s="37">
        <f t="shared" si="0"/>
        <v>63835.7376</v>
      </c>
    </row>
    <row r="4" spans="1:19" x14ac:dyDescent="0.25">
      <c r="A4" s="24" t="s">
        <v>51</v>
      </c>
      <c r="B4" s="25"/>
      <c r="C4" s="26">
        <v>183.1</v>
      </c>
      <c r="D4" s="26">
        <v>39</v>
      </c>
      <c r="E4" s="26">
        <v>67.55</v>
      </c>
      <c r="F4" s="37">
        <f>SUM(C4:E4)</f>
        <v>289.64999999999998</v>
      </c>
      <c r="G4" s="26">
        <v>173.5</v>
      </c>
      <c r="H4" s="26">
        <v>287.95</v>
      </c>
      <c r="I4" s="26">
        <v>181.15</v>
      </c>
      <c r="J4" s="37">
        <f>SUM(G4:I4)</f>
        <v>642.6</v>
      </c>
      <c r="K4" s="26">
        <v>116</v>
      </c>
      <c r="L4" s="26">
        <v>65.599999999999994</v>
      </c>
      <c r="M4" s="26">
        <v>15.2</v>
      </c>
      <c r="N4" s="37">
        <f>SUM(K4:M4)</f>
        <v>196.79999999999998</v>
      </c>
      <c r="O4" s="26">
        <v>426.95</v>
      </c>
      <c r="P4" s="26">
        <v>289.64999999999998</v>
      </c>
      <c r="Q4" s="26">
        <v>13.15</v>
      </c>
      <c r="R4" s="37">
        <f>SUM(O4:Q4)</f>
        <v>729.74999999999989</v>
      </c>
    </row>
    <row r="5" spans="1:19" x14ac:dyDescent="0.25">
      <c r="A5" s="24" t="s">
        <v>50</v>
      </c>
      <c r="B5" s="25">
        <v>0.32</v>
      </c>
      <c r="C5" s="26">
        <f t="shared" ref="C5:R5" si="1">C4*$B$5</f>
        <v>58.591999999999999</v>
      </c>
      <c r="D5" s="26">
        <f t="shared" si="1"/>
        <v>12.48</v>
      </c>
      <c r="E5" s="26">
        <f t="shared" si="1"/>
        <v>21.616</v>
      </c>
      <c r="F5" s="37">
        <f t="shared" si="1"/>
        <v>92.687999999999988</v>
      </c>
      <c r="G5" s="26">
        <f t="shared" si="1"/>
        <v>55.52</v>
      </c>
      <c r="H5" s="26">
        <f t="shared" si="1"/>
        <v>92.143999999999991</v>
      </c>
      <c r="I5" s="26">
        <f t="shared" si="1"/>
        <v>57.968000000000004</v>
      </c>
      <c r="J5" s="37">
        <f t="shared" si="1"/>
        <v>205.63200000000001</v>
      </c>
      <c r="K5" s="26">
        <f t="shared" si="1"/>
        <v>37.119999999999997</v>
      </c>
      <c r="L5" s="26">
        <f t="shared" si="1"/>
        <v>20.991999999999997</v>
      </c>
      <c r="M5" s="26">
        <f t="shared" si="1"/>
        <v>4.8639999999999999</v>
      </c>
      <c r="N5" s="37">
        <f t="shared" si="1"/>
        <v>62.975999999999999</v>
      </c>
      <c r="O5" s="26">
        <f t="shared" si="1"/>
        <v>136.624</v>
      </c>
      <c r="P5" s="26">
        <f t="shared" si="1"/>
        <v>92.687999999999988</v>
      </c>
      <c r="Q5" s="26">
        <f t="shared" si="1"/>
        <v>4.2080000000000002</v>
      </c>
      <c r="R5" s="37">
        <f t="shared" si="1"/>
        <v>233.51999999999998</v>
      </c>
    </row>
    <row r="6" spans="1:19" x14ac:dyDescent="0.25">
      <c r="A6" s="24" t="s">
        <v>52</v>
      </c>
      <c r="B6" s="25"/>
      <c r="C6" s="26">
        <f>C3+$C$5</f>
        <v>26794.392</v>
      </c>
      <c r="D6" s="26">
        <f t="shared" ref="D6:R6" si="2">D3+D5</f>
        <v>36934.280000000006</v>
      </c>
      <c r="E6" s="26">
        <f t="shared" si="2"/>
        <v>19224.356</v>
      </c>
      <c r="F6" s="37">
        <f t="shared" si="2"/>
        <v>82953.027999999991</v>
      </c>
      <c r="G6" s="26">
        <f t="shared" si="2"/>
        <v>27812.601600000002</v>
      </c>
      <c r="H6" s="26">
        <f t="shared" si="2"/>
        <v>31196.564000000002</v>
      </c>
      <c r="I6" s="26">
        <f t="shared" si="2"/>
        <v>35708.345600000001</v>
      </c>
      <c r="J6" s="37">
        <f t="shared" si="2"/>
        <v>94717.511199999994</v>
      </c>
      <c r="K6" s="26">
        <f t="shared" si="2"/>
        <v>27924.809600000001</v>
      </c>
      <c r="L6" s="26">
        <f t="shared" si="2"/>
        <v>27144.1024</v>
      </c>
      <c r="M6" s="26">
        <f t="shared" si="2"/>
        <v>26323.9872</v>
      </c>
      <c r="N6" s="37">
        <f t="shared" si="2"/>
        <v>81392.8992</v>
      </c>
      <c r="O6" s="26">
        <f t="shared" si="2"/>
        <v>19863.587200000002</v>
      </c>
      <c r="P6" s="26">
        <f t="shared" si="2"/>
        <v>19636.056</v>
      </c>
      <c r="Q6" s="26">
        <f t="shared" si="2"/>
        <v>24569.614400000002</v>
      </c>
      <c r="R6" s="37">
        <f t="shared" si="2"/>
        <v>64069.257599999997</v>
      </c>
    </row>
    <row r="7" spans="1:19" x14ac:dyDescent="0.25">
      <c r="A7" s="24" t="s">
        <v>53</v>
      </c>
      <c r="B7" s="25"/>
      <c r="C7" s="26"/>
      <c r="D7" s="26"/>
      <c r="E7" s="26">
        <v>6796.03</v>
      </c>
      <c r="F7" s="37">
        <f>SUM(C7:E7)</f>
        <v>6796.03</v>
      </c>
      <c r="G7" s="26"/>
      <c r="H7" s="26"/>
      <c r="I7" s="26">
        <v>3178.84</v>
      </c>
      <c r="J7" s="37">
        <f>SUM(G7:I7)</f>
        <v>3178.84</v>
      </c>
      <c r="K7" s="26"/>
      <c r="L7" s="26"/>
      <c r="M7" s="26"/>
      <c r="N7" s="37">
        <v>37407.629999999997</v>
      </c>
      <c r="O7" s="26"/>
      <c r="P7" s="26"/>
      <c r="Q7" s="26">
        <v>6803.13</v>
      </c>
      <c r="R7" s="37">
        <f>SUM(O7:Q7)</f>
        <v>6803.13</v>
      </c>
    </row>
    <row r="8" spans="1:19" x14ac:dyDescent="0.25">
      <c r="A8" s="24" t="s">
        <v>54</v>
      </c>
      <c r="B8" s="25"/>
      <c r="C8" s="26">
        <f>C6+C7</f>
        <v>26794.392</v>
      </c>
      <c r="D8" s="26">
        <f>D6+D7</f>
        <v>36934.280000000006</v>
      </c>
      <c r="E8" s="26">
        <f>E6+E7</f>
        <v>26020.385999999999</v>
      </c>
      <c r="F8" s="37">
        <f>SUM(F6:F7)</f>
        <v>89749.05799999999</v>
      </c>
      <c r="G8" s="26">
        <f>G6+G7</f>
        <v>27812.601600000002</v>
      </c>
      <c r="H8" s="26">
        <f>H6+H7</f>
        <v>31196.564000000002</v>
      </c>
      <c r="I8" s="26">
        <f>I6+I7</f>
        <v>38887.185599999997</v>
      </c>
      <c r="J8" s="37">
        <f>SUM(J6:J7)</f>
        <v>97896.35119999999</v>
      </c>
      <c r="K8" s="26">
        <f>K6+K7</f>
        <v>27924.809600000001</v>
      </c>
      <c r="L8" s="26">
        <f>L6+L7</f>
        <v>27144.1024</v>
      </c>
      <c r="M8" s="26">
        <f>M6+M7</f>
        <v>26323.9872</v>
      </c>
      <c r="N8" s="37">
        <f>SUM(N6:N7)</f>
        <v>118800.52919999999</v>
      </c>
      <c r="O8" s="26">
        <f>O6+O7</f>
        <v>19863.587200000002</v>
      </c>
      <c r="P8" s="26">
        <f>P6+P7</f>
        <v>19636.056</v>
      </c>
      <c r="Q8" s="26">
        <f>Q6+Q7</f>
        <v>31372.744400000003</v>
      </c>
      <c r="R8" s="37">
        <f>SUM(R6:R7)</f>
        <v>70872.387600000002</v>
      </c>
    </row>
    <row r="9" spans="1:19" x14ac:dyDescent="0.25">
      <c r="A9" s="24" t="s">
        <v>19</v>
      </c>
      <c r="B9" s="25">
        <v>0.15</v>
      </c>
      <c r="C9" s="26">
        <f t="shared" ref="C9:R9" si="3">C8*$B$9</f>
        <v>4019.1587999999997</v>
      </c>
      <c r="D9" s="26">
        <f t="shared" si="3"/>
        <v>5540.1420000000007</v>
      </c>
      <c r="E9" s="26">
        <f t="shared" si="3"/>
        <v>3903.0578999999998</v>
      </c>
      <c r="F9" s="37">
        <f t="shared" si="3"/>
        <v>13462.358699999999</v>
      </c>
      <c r="G9" s="26">
        <f t="shared" si="3"/>
        <v>4171.8902399999997</v>
      </c>
      <c r="H9" s="26">
        <f t="shared" si="3"/>
        <v>4679.4845999999998</v>
      </c>
      <c r="I9" s="26">
        <f t="shared" si="3"/>
        <v>5833.077839999999</v>
      </c>
      <c r="J9" s="37">
        <f t="shared" si="3"/>
        <v>14684.452679999999</v>
      </c>
      <c r="K9" s="26">
        <f t="shared" si="3"/>
        <v>4188.7214400000003</v>
      </c>
      <c r="L9" s="26">
        <f t="shared" si="3"/>
        <v>4071.6153599999998</v>
      </c>
      <c r="M9" s="26">
        <f t="shared" si="3"/>
        <v>3948.5980799999998</v>
      </c>
      <c r="N9" s="37">
        <f t="shared" si="3"/>
        <v>17820.079379999999</v>
      </c>
      <c r="O9" s="26">
        <f t="shared" si="3"/>
        <v>2979.5380800000003</v>
      </c>
      <c r="P9" s="26">
        <f t="shared" si="3"/>
        <v>2945.4083999999998</v>
      </c>
      <c r="Q9" s="26">
        <f t="shared" si="3"/>
        <v>4705.9116600000007</v>
      </c>
      <c r="R9" s="37">
        <f t="shared" si="3"/>
        <v>10630.85814</v>
      </c>
    </row>
    <row r="10" spans="1:19" x14ac:dyDescent="0.25">
      <c r="A10" s="24" t="s">
        <v>55</v>
      </c>
      <c r="B10" s="25"/>
      <c r="C10" s="26">
        <f>IF(C8&gt;20000,(C8-20000)*0.1," ")</f>
        <v>679.43920000000003</v>
      </c>
      <c r="D10" s="26">
        <f>IF(D8&gt;20000,(D8-20000)*0.1," ")</f>
        <v>1693.4280000000008</v>
      </c>
      <c r="E10" s="26">
        <f>IF(E8&gt;20000,(E8-20000)*0.1," ")</f>
        <v>602.03859999999986</v>
      </c>
      <c r="F10" s="37">
        <f>IF(F8&gt;60000,(F8-60000)*0.1," ")</f>
        <v>2974.9057999999991</v>
      </c>
      <c r="G10" s="26">
        <f>IF(G8&gt;20000,(G8-20000)*0.1," ")</f>
        <v>781.26016000000027</v>
      </c>
      <c r="H10" s="26">
        <f>IF(H8&gt;20000,(H8-20000)*0.1," ")</f>
        <v>1119.6564000000003</v>
      </c>
      <c r="I10" s="26">
        <f>IF(I8&gt;20000,(I8-20000)*0.1," ")</f>
        <v>1888.7185599999998</v>
      </c>
      <c r="J10" s="37">
        <f>IF(J8&gt;60000,(J8-60000)*0.1," ")</f>
        <v>3789.635119999999</v>
      </c>
      <c r="K10" s="26">
        <f>IF(K8&gt;20000,(K8-20000)*0.1," ")</f>
        <v>792.4809600000001</v>
      </c>
      <c r="L10" s="26">
        <f>IF(L8&gt;20000,(L8-20000)*0.1," ")</f>
        <v>714.41024000000004</v>
      </c>
      <c r="M10" s="26">
        <f>IF(M8&gt;20000,(M8-20000)*0.1," ")</f>
        <v>632.39872000000003</v>
      </c>
      <c r="N10" s="37">
        <f>IF(N8&gt;60000,(N8-60000)*0.1," ")</f>
        <v>5880.0529199999992</v>
      </c>
      <c r="O10" s="26" t="str">
        <f>IF(O8&gt;20000,(O8-20000)*0.1," ")</f>
        <v xml:space="preserve"> </v>
      </c>
      <c r="P10" s="26" t="str">
        <f>IF(P8&gt;20000,(P8-20000)*0.1," ")</f>
        <v xml:space="preserve"> </v>
      </c>
      <c r="Q10" s="26">
        <f>IF(Q8&gt;20000,(Q8-20000)*0.1," ")</f>
        <v>1137.2744400000004</v>
      </c>
      <c r="R10" s="37">
        <f>SUM(O10:Q10)</f>
        <v>1137.2744400000004</v>
      </c>
    </row>
    <row r="11" spans="1:19" x14ac:dyDescent="0.25">
      <c r="A11" s="24" t="s">
        <v>56</v>
      </c>
      <c r="B11" s="25"/>
      <c r="C11" s="26"/>
      <c r="D11" s="26"/>
      <c r="E11" s="26">
        <v>2071.2199999999998</v>
      </c>
      <c r="F11" s="37">
        <f>SUM(C11:E11)</f>
        <v>2071.2199999999998</v>
      </c>
      <c r="G11" s="26"/>
      <c r="H11" s="26"/>
      <c r="I11" s="26">
        <v>272.36</v>
      </c>
      <c r="J11" s="37">
        <f>SUM(G11:I11)</f>
        <v>272.36</v>
      </c>
      <c r="K11" s="26"/>
      <c r="L11" s="26"/>
      <c r="M11" s="26"/>
      <c r="N11" s="37">
        <v>6355.22</v>
      </c>
      <c r="O11" s="26"/>
      <c r="P11" s="26"/>
      <c r="Q11" s="26">
        <v>383.49</v>
      </c>
      <c r="R11" s="37">
        <f>SUM(O11:Q11)</f>
        <v>383.49</v>
      </c>
    </row>
    <row r="12" spans="1:19" s="30" customFormat="1" x14ac:dyDescent="0.25">
      <c r="A12" s="28" t="s">
        <v>57</v>
      </c>
      <c r="B12" s="29"/>
      <c r="C12" s="29">
        <f t="shared" ref="C12:R12" si="4">SUM(C9:C10)-C11</f>
        <v>4698.598</v>
      </c>
      <c r="D12" s="29">
        <f t="shared" si="4"/>
        <v>7233.5700000000015</v>
      </c>
      <c r="E12" s="29">
        <f t="shared" si="4"/>
        <v>2433.8764999999999</v>
      </c>
      <c r="F12" s="29">
        <f t="shared" si="4"/>
        <v>14366.044499999998</v>
      </c>
      <c r="G12" s="29">
        <f t="shared" si="4"/>
        <v>4953.1504000000004</v>
      </c>
      <c r="H12" s="29">
        <f t="shared" si="4"/>
        <v>5799.1409999999996</v>
      </c>
      <c r="I12" s="29">
        <f t="shared" si="4"/>
        <v>7449.4363999999996</v>
      </c>
      <c r="J12" s="29">
        <f t="shared" si="4"/>
        <v>18201.727799999997</v>
      </c>
      <c r="K12" s="29">
        <f t="shared" si="4"/>
        <v>4981.2024000000001</v>
      </c>
      <c r="L12" s="29">
        <f t="shared" si="4"/>
        <v>4786.0255999999999</v>
      </c>
      <c r="M12" s="29">
        <f t="shared" si="4"/>
        <v>4580.9967999999999</v>
      </c>
      <c r="N12" s="29">
        <f t="shared" si="4"/>
        <v>17344.912299999996</v>
      </c>
      <c r="O12" s="29">
        <f t="shared" si="4"/>
        <v>2979.5380800000003</v>
      </c>
      <c r="P12" s="29">
        <f t="shared" si="4"/>
        <v>2945.4083999999998</v>
      </c>
      <c r="Q12" s="29">
        <f t="shared" si="4"/>
        <v>5459.696100000001</v>
      </c>
      <c r="R12" s="29">
        <f t="shared" si="4"/>
        <v>11384.642580000002</v>
      </c>
      <c r="S12" s="30">
        <f>SUM(R12,N12,J12,F12)</f>
        <v>61297.327179999986</v>
      </c>
    </row>
    <row r="13" spans="1:19" s="41" customFormat="1" x14ac:dyDescent="0.25">
      <c r="A13" s="38" t="s">
        <v>73</v>
      </c>
      <c r="B13" s="39"/>
      <c r="C13" s="39"/>
      <c r="D13" s="39"/>
      <c r="E13" s="39"/>
      <c r="F13" s="40">
        <v>14366.05</v>
      </c>
      <c r="G13" s="39"/>
      <c r="H13" s="39"/>
      <c r="I13" s="39"/>
      <c r="J13" s="40">
        <v>18201.73</v>
      </c>
      <c r="K13" s="39"/>
      <c r="L13" s="39"/>
      <c r="M13" s="39"/>
      <c r="N13" s="40">
        <v>17344.91</v>
      </c>
      <c r="O13" s="39"/>
      <c r="P13" s="39"/>
      <c r="Q13" s="39"/>
      <c r="R13" s="40">
        <v>11834.64</v>
      </c>
      <c r="S13" s="30">
        <f>SUM(R13,N13,J13,F13)</f>
        <v>61747.33</v>
      </c>
    </row>
    <row r="14" spans="1:19" x14ac:dyDescent="0.25">
      <c r="A14" s="24" t="s">
        <v>49</v>
      </c>
      <c r="B14" s="25"/>
      <c r="C14" s="31">
        <f>C2</f>
        <v>334197.5</v>
      </c>
      <c r="D14" s="26">
        <f>D2</f>
        <v>461522.5</v>
      </c>
      <c r="E14" s="26">
        <f>E2</f>
        <v>240034.24999999997</v>
      </c>
      <c r="F14" s="37">
        <f>SUM(C14:E14)</f>
        <v>1035754.25</v>
      </c>
      <c r="G14" s="26">
        <f>G2</f>
        <v>346963.52</v>
      </c>
      <c r="H14" s="26">
        <f>H2</f>
        <v>388805.25</v>
      </c>
      <c r="I14" s="26">
        <f>I2</f>
        <v>445629.72</v>
      </c>
      <c r="J14" s="37">
        <f>SUM(G14:I14)</f>
        <v>1181398.49</v>
      </c>
      <c r="K14" s="26">
        <f t="shared" ref="K14:R14" si="5">K2</f>
        <v>348596.12</v>
      </c>
      <c r="L14" s="26">
        <f t="shared" si="5"/>
        <v>339038.88</v>
      </c>
      <c r="M14" s="26">
        <f t="shared" si="5"/>
        <v>328989.03999999998</v>
      </c>
      <c r="N14" s="37">
        <f t="shared" si="5"/>
        <v>1016624.04</v>
      </c>
      <c r="O14" s="26">
        <f t="shared" si="5"/>
        <v>246587.04</v>
      </c>
      <c r="P14" s="26">
        <f t="shared" si="5"/>
        <v>244292.1</v>
      </c>
      <c r="Q14" s="26">
        <f t="shared" si="5"/>
        <v>307067.58</v>
      </c>
      <c r="R14" s="37">
        <f t="shared" si="5"/>
        <v>797946.72</v>
      </c>
      <c r="S14" s="30"/>
    </row>
    <row r="15" spans="1:19" x14ac:dyDescent="0.25">
      <c r="A15" s="24" t="s">
        <v>58</v>
      </c>
      <c r="B15" s="25">
        <v>0.12</v>
      </c>
      <c r="C15" s="31">
        <f t="shared" ref="C15:R15" si="6">C14*$B$15</f>
        <v>40103.699999999997</v>
      </c>
      <c r="D15" s="26">
        <f t="shared" si="6"/>
        <v>55382.7</v>
      </c>
      <c r="E15" s="26">
        <f t="shared" si="6"/>
        <v>28804.109999999997</v>
      </c>
      <c r="F15" s="37">
        <f t="shared" si="6"/>
        <v>124290.51</v>
      </c>
      <c r="G15" s="26">
        <f t="shared" si="6"/>
        <v>41635.6224</v>
      </c>
      <c r="H15" s="26">
        <f t="shared" si="6"/>
        <v>46656.63</v>
      </c>
      <c r="I15" s="26">
        <f t="shared" si="6"/>
        <v>53475.566399999996</v>
      </c>
      <c r="J15" s="37">
        <f t="shared" si="6"/>
        <v>141767.81879999998</v>
      </c>
      <c r="K15" s="26">
        <f t="shared" si="6"/>
        <v>41831.534399999997</v>
      </c>
      <c r="L15" s="26">
        <f t="shared" si="6"/>
        <v>40684.6656</v>
      </c>
      <c r="M15" s="26">
        <f t="shared" si="6"/>
        <v>39478.684799999995</v>
      </c>
      <c r="N15" s="37">
        <f t="shared" si="6"/>
        <v>121994.8848</v>
      </c>
      <c r="O15" s="26">
        <f t="shared" si="6"/>
        <v>29590.444800000001</v>
      </c>
      <c r="P15" s="26">
        <f t="shared" si="6"/>
        <v>29315.052</v>
      </c>
      <c r="Q15" s="26">
        <f t="shared" si="6"/>
        <v>36848.109600000003</v>
      </c>
      <c r="R15" s="37">
        <f t="shared" si="6"/>
        <v>95753.60639999999</v>
      </c>
      <c r="S15" s="30"/>
    </row>
    <row r="16" spans="1:19" x14ac:dyDescent="0.25">
      <c r="A16" s="24" t="s">
        <v>51</v>
      </c>
      <c r="B16" s="25"/>
      <c r="C16" s="31">
        <f>C4</f>
        <v>183.1</v>
      </c>
      <c r="D16" s="26">
        <f>D4</f>
        <v>39</v>
      </c>
      <c r="E16" s="26">
        <f>E4</f>
        <v>67.55</v>
      </c>
      <c r="F16" s="37">
        <f>SUM(C16:E16)</f>
        <v>289.64999999999998</v>
      </c>
      <c r="G16" s="26">
        <f>G4</f>
        <v>173.5</v>
      </c>
      <c r="H16" s="26">
        <f>H4</f>
        <v>287.95</v>
      </c>
      <c r="I16" s="26">
        <f>I4</f>
        <v>181.15</v>
      </c>
      <c r="J16" s="37">
        <f>SUM(G16:I16)</f>
        <v>642.6</v>
      </c>
      <c r="K16" s="26">
        <f t="shared" ref="K16:R16" si="7">K4</f>
        <v>116</v>
      </c>
      <c r="L16" s="26">
        <f t="shared" si="7"/>
        <v>65.599999999999994</v>
      </c>
      <c r="M16" s="26">
        <f t="shared" si="7"/>
        <v>15.2</v>
      </c>
      <c r="N16" s="37">
        <f t="shared" si="7"/>
        <v>196.79999999999998</v>
      </c>
      <c r="O16" s="26">
        <f t="shared" si="7"/>
        <v>426.95</v>
      </c>
      <c r="P16" s="26">
        <f t="shared" si="7"/>
        <v>289.64999999999998</v>
      </c>
      <c r="Q16" s="26">
        <f t="shared" si="7"/>
        <v>13.15</v>
      </c>
      <c r="R16" s="37">
        <f t="shared" si="7"/>
        <v>729.74999999999989</v>
      </c>
      <c r="S16" s="30"/>
    </row>
    <row r="17" spans="1:19" x14ac:dyDescent="0.25">
      <c r="A17" s="24" t="s">
        <v>58</v>
      </c>
      <c r="B17" s="25">
        <v>0.32</v>
      </c>
      <c r="C17" s="31">
        <f t="shared" ref="C17:R17" si="8">C16*$B$17</f>
        <v>58.591999999999999</v>
      </c>
      <c r="D17" s="26">
        <f t="shared" si="8"/>
        <v>12.48</v>
      </c>
      <c r="E17" s="26">
        <f t="shared" si="8"/>
        <v>21.616</v>
      </c>
      <c r="F17" s="37">
        <f t="shared" si="8"/>
        <v>92.687999999999988</v>
      </c>
      <c r="G17" s="26">
        <f t="shared" si="8"/>
        <v>55.52</v>
      </c>
      <c r="H17" s="26">
        <f t="shared" si="8"/>
        <v>92.143999999999991</v>
      </c>
      <c r="I17" s="26">
        <f t="shared" si="8"/>
        <v>57.968000000000004</v>
      </c>
      <c r="J17" s="37">
        <f t="shared" si="8"/>
        <v>205.63200000000001</v>
      </c>
      <c r="K17" s="26">
        <f t="shared" si="8"/>
        <v>37.119999999999997</v>
      </c>
      <c r="L17" s="26">
        <f t="shared" si="8"/>
        <v>20.991999999999997</v>
      </c>
      <c r="M17" s="26">
        <f t="shared" si="8"/>
        <v>4.8639999999999999</v>
      </c>
      <c r="N17" s="37">
        <f t="shared" si="8"/>
        <v>62.975999999999999</v>
      </c>
      <c r="O17" s="26">
        <f t="shared" si="8"/>
        <v>136.624</v>
      </c>
      <c r="P17" s="26">
        <f t="shared" si="8"/>
        <v>92.687999999999988</v>
      </c>
      <c r="Q17" s="26">
        <f t="shared" si="8"/>
        <v>4.2080000000000002</v>
      </c>
      <c r="R17" s="37">
        <f t="shared" si="8"/>
        <v>233.51999999999998</v>
      </c>
      <c r="S17" s="30"/>
    </row>
    <row r="18" spans="1:19" x14ac:dyDescent="0.25">
      <c r="A18" s="24" t="s">
        <v>52</v>
      </c>
      <c r="B18" s="25"/>
      <c r="C18" s="31">
        <f>C15+C17</f>
        <v>40162.291999999994</v>
      </c>
      <c r="D18" s="26">
        <f>D15+D17</f>
        <v>55395.18</v>
      </c>
      <c r="E18" s="26">
        <f>E15+E17</f>
        <v>28825.725999999999</v>
      </c>
      <c r="F18" s="37">
        <f>SUM(C18:E18)</f>
        <v>124383.19799999999</v>
      </c>
      <c r="G18" s="26">
        <f>G15+G17</f>
        <v>41691.142399999997</v>
      </c>
      <c r="H18" s="26">
        <f>H15+H17</f>
        <v>46748.773999999998</v>
      </c>
      <c r="I18" s="26">
        <f>I15+I17</f>
        <v>53533.534399999997</v>
      </c>
      <c r="J18" s="37">
        <f>SUM(G18:I18)</f>
        <v>141973.45079999999</v>
      </c>
      <c r="K18" s="26">
        <f t="shared" ref="K18:R18" si="9">K15+K17</f>
        <v>41868.654399999999</v>
      </c>
      <c r="L18" s="26">
        <f t="shared" si="9"/>
        <v>40705.657599999999</v>
      </c>
      <c r="M18" s="26">
        <f t="shared" si="9"/>
        <v>39483.548799999997</v>
      </c>
      <c r="N18" s="37">
        <f t="shared" si="9"/>
        <v>122057.86079999999</v>
      </c>
      <c r="O18" s="26">
        <f t="shared" si="9"/>
        <v>29727.068800000001</v>
      </c>
      <c r="P18" s="26">
        <f t="shared" si="9"/>
        <v>29407.739999999998</v>
      </c>
      <c r="Q18" s="26">
        <f t="shared" si="9"/>
        <v>36852.317600000002</v>
      </c>
      <c r="R18" s="37">
        <f t="shared" si="9"/>
        <v>95987.126399999994</v>
      </c>
      <c r="S18" s="30"/>
    </row>
    <row r="19" spans="1:19" x14ac:dyDescent="0.25">
      <c r="A19" s="24" t="s">
        <v>53</v>
      </c>
      <c r="B19" s="25"/>
      <c r="C19" s="31">
        <f>C7</f>
        <v>0</v>
      </c>
      <c r="D19" s="26">
        <f>D7</f>
        <v>0</v>
      </c>
      <c r="E19" s="26">
        <f>E7</f>
        <v>6796.03</v>
      </c>
      <c r="F19" s="37">
        <f>SUM(C19:E19)</f>
        <v>6796.03</v>
      </c>
      <c r="G19" s="26">
        <f>G7</f>
        <v>0</v>
      </c>
      <c r="H19" s="26">
        <f>H7</f>
        <v>0</v>
      </c>
      <c r="I19" s="26">
        <f>I7</f>
        <v>3178.84</v>
      </c>
      <c r="J19" s="37">
        <f>SUM(G19:I19)</f>
        <v>3178.84</v>
      </c>
      <c r="K19" s="26"/>
      <c r="L19" s="26"/>
      <c r="M19" s="26">
        <f t="shared" ref="M19:R19" si="10">M7</f>
        <v>0</v>
      </c>
      <c r="N19" s="37">
        <f t="shared" si="10"/>
        <v>37407.629999999997</v>
      </c>
      <c r="O19" s="26">
        <f t="shared" si="10"/>
        <v>0</v>
      </c>
      <c r="P19" s="26">
        <f t="shared" si="10"/>
        <v>0</v>
      </c>
      <c r="Q19" s="26">
        <f t="shared" si="10"/>
        <v>6803.13</v>
      </c>
      <c r="R19" s="37">
        <f t="shared" si="10"/>
        <v>6803.13</v>
      </c>
      <c r="S19" s="30"/>
    </row>
    <row r="20" spans="1:19" x14ac:dyDescent="0.25">
      <c r="A20" s="24" t="s">
        <v>54</v>
      </c>
      <c r="B20" s="25"/>
      <c r="C20" s="31">
        <f t="shared" ref="C20:R20" si="11">C18+C19</f>
        <v>40162.291999999994</v>
      </c>
      <c r="D20" s="26">
        <f t="shared" si="11"/>
        <v>55395.18</v>
      </c>
      <c r="E20" s="26">
        <f t="shared" si="11"/>
        <v>35621.756000000001</v>
      </c>
      <c r="F20" s="37">
        <f t="shared" si="11"/>
        <v>131179.228</v>
      </c>
      <c r="G20" s="26">
        <f t="shared" si="11"/>
        <v>41691.142399999997</v>
      </c>
      <c r="H20" s="26">
        <f t="shared" si="11"/>
        <v>46748.773999999998</v>
      </c>
      <c r="I20" s="26">
        <f t="shared" si="11"/>
        <v>56712.374400000001</v>
      </c>
      <c r="J20" s="37">
        <f t="shared" si="11"/>
        <v>145152.29079999999</v>
      </c>
      <c r="K20" s="26">
        <f t="shared" si="11"/>
        <v>41868.654399999999</v>
      </c>
      <c r="L20" s="26">
        <f t="shared" si="11"/>
        <v>40705.657599999999</v>
      </c>
      <c r="M20" s="26">
        <f t="shared" si="11"/>
        <v>39483.548799999997</v>
      </c>
      <c r="N20" s="37">
        <f t="shared" si="11"/>
        <v>159465.4908</v>
      </c>
      <c r="O20" s="26">
        <f t="shared" si="11"/>
        <v>29727.068800000001</v>
      </c>
      <c r="P20" s="26">
        <f t="shared" si="11"/>
        <v>29407.739999999998</v>
      </c>
      <c r="Q20" s="26">
        <f t="shared" si="11"/>
        <v>43655.4476</v>
      </c>
      <c r="R20" s="37">
        <f t="shared" si="11"/>
        <v>102790.2564</v>
      </c>
      <c r="S20" s="30"/>
    </row>
    <row r="21" spans="1:19" x14ac:dyDescent="0.25">
      <c r="A21" s="24" t="s">
        <v>27</v>
      </c>
      <c r="B21" s="25">
        <v>0.09</v>
      </c>
      <c r="C21" s="31">
        <f t="shared" ref="C21:R21" si="12">C20*$B$21</f>
        <v>3614.6062799999995</v>
      </c>
      <c r="D21" s="26">
        <f t="shared" si="12"/>
        <v>4985.5662000000002</v>
      </c>
      <c r="E21" s="26">
        <f t="shared" si="12"/>
        <v>3205.95804</v>
      </c>
      <c r="F21" s="37">
        <f t="shared" si="12"/>
        <v>11806.130520000001</v>
      </c>
      <c r="G21" s="26">
        <f t="shared" si="12"/>
        <v>3752.2028159999995</v>
      </c>
      <c r="H21" s="26">
        <f t="shared" si="12"/>
        <v>4207.3896599999998</v>
      </c>
      <c r="I21" s="26">
        <f t="shared" si="12"/>
        <v>5104.1136959999994</v>
      </c>
      <c r="J21" s="37">
        <f t="shared" si="12"/>
        <v>13063.706171999998</v>
      </c>
      <c r="K21" s="26">
        <f t="shared" si="12"/>
        <v>3768.1788959999999</v>
      </c>
      <c r="L21" s="26">
        <f t="shared" si="12"/>
        <v>3663.5091839999995</v>
      </c>
      <c r="M21" s="26">
        <f t="shared" si="12"/>
        <v>3553.5193919999997</v>
      </c>
      <c r="N21" s="37">
        <f t="shared" si="12"/>
        <v>14351.894172</v>
      </c>
      <c r="O21" s="26">
        <f t="shared" si="12"/>
        <v>2675.4361920000001</v>
      </c>
      <c r="P21" s="26">
        <f t="shared" si="12"/>
        <v>2646.6965999999998</v>
      </c>
      <c r="Q21" s="26">
        <f t="shared" si="12"/>
        <v>3928.990284</v>
      </c>
      <c r="R21" s="37">
        <f t="shared" si="12"/>
        <v>9251.1230759999999</v>
      </c>
      <c r="S21" s="30"/>
    </row>
    <row r="22" spans="1:19" x14ac:dyDescent="0.25">
      <c r="A22" s="24" t="s">
        <v>59</v>
      </c>
      <c r="B22" s="25"/>
      <c r="C22" s="31"/>
      <c r="D22" s="26"/>
      <c r="E22" s="26"/>
      <c r="F22" s="37">
        <f>SUM(C22:E22)</f>
        <v>0</v>
      </c>
      <c r="G22" s="26"/>
      <c r="H22" s="26"/>
      <c r="I22" s="26"/>
      <c r="J22" s="37">
        <f>SUM(G22:I22)</f>
        <v>0</v>
      </c>
      <c r="K22" s="26"/>
      <c r="L22" s="26"/>
      <c r="M22" s="26"/>
      <c r="N22" s="37"/>
      <c r="O22" s="26"/>
      <c r="P22" s="26"/>
      <c r="Q22" s="26"/>
      <c r="R22" s="37"/>
      <c r="S22" s="30"/>
    </row>
    <row r="23" spans="1:19" s="5" customFormat="1" x14ac:dyDescent="0.25">
      <c r="A23" s="32" t="s">
        <v>60</v>
      </c>
      <c r="B23" s="33"/>
      <c r="C23" s="29">
        <f t="shared" ref="C23:R23" si="13">C21-C22</f>
        <v>3614.6062799999995</v>
      </c>
      <c r="D23" s="29">
        <f t="shared" si="13"/>
        <v>4985.5662000000002</v>
      </c>
      <c r="E23" s="29">
        <f t="shared" si="13"/>
        <v>3205.95804</v>
      </c>
      <c r="F23" s="29">
        <f t="shared" si="13"/>
        <v>11806.130520000001</v>
      </c>
      <c r="G23" s="29">
        <f t="shared" si="13"/>
        <v>3752.2028159999995</v>
      </c>
      <c r="H23" s="29">
        <f t="shared" si="13"/>
        <v>4207.3896599999998</v>
      </c>
      <c r="I23" s="29">
        <f t="shared" si="13"/>
        <v>5104.1136959999994</v>
      </c>
      <c r="J23" s="29">
        <f t="shared" si="13"/>
        <v>13063.706171999998</v>
      </c>
      <c r="K23" s="29">
        <f t="shared" si="13"/>
        <v>3768.1788959999999</v>
      </c>
      <c r="L23" s="29">
        <f t="shared" si="13"/>
        <v>3663.5091839999995</v>
      </c>
      <c r="M23" s="29">
        <f t="shared" si="13"/>
        <v>3553.5193919999997</v>
      </c>
      <c r="N23" s="29">
        <f t="shared" si="13"/>
        <v>14351.894172</v>
      </c>
      <c r="O23" s="29">
        <f t="shared" si="13"/>
        <v>2675.4361920000001</v>
      </c>
      <c r="P23" s="29">
        <f t="shared" si="13"/>
        <v>2646.6965999999998</v>
      </c>
      <c r="Q23" s="29">
        <f t="shared" si="13"/>
        <v>3928.990284</v>
      </c>
      <c r="R23" s="29">
        <f t="shared" si="13"/>
        <v>9251.1230759999999</v>
      </c>
      <c r="S23" s="30">
        <f>SUM(R23,N23,J23,F23)</f>
        <v>48472.853939999994</v>
      </c>
    </row>
    <row r="24" spans="1:19" s="41" customFormat="1" x14ac:dyDescent="0.25">
      <c r="A24" s="38" t="s">
        <v>74</v>
      </c>
      <c r="B24" s="39"/>
      <c r="C24" s="39"/>
      <c r="D24" s="39"/>
      <c r="E24" s="39"/>
      <c r="F24" s="40">
        <v>11806.14</v>
      </c>
      <c r="G24" s="39"/>
      <c r="H24" s="39"/>
      <c r="I24" s="39"/>
      <c r="J24" s="40">
        <v>13063.72</v>
      </c>
      <c r="K24" s="39"/>
      <c r="L24" s="39"/>
      <c r="M24" s="39"/>
      <c r="N24" s="40">
        <v>14351.9</v>
      </c>
      <c r="O24" s="39"/>
      <c r="P24" s="39"/>
      <c r="Q24" s="39"/>
      <c r="R24" s="40">
        <v>9251.1200000000008</v>
      </c>
      <c r="S24" s="30">
        <f>SUM(R24,N24,J24,F24)</f>
        <v>48472.88</v>
      </c>
    </row>
    <row r="25" spans="1:19" x14ac:dyDescent="0.25">
      <c r="A25" s="24" t="s">
        <v>61</v>
      </c>
      <c r="B25" s="25"/>
      <c r="C25" s="31">
        <f>C2+C4</f>
        <v>334380.59999999998</v>
      </c>
      <c r="D25" s="31">
        <f>D2+D4</f>
        <v>461561.5</v>
      </c>
      <c r="E25" s="31">
        <f>E2+E4</f>
        <v>240101.79999999996</v>
      </c>
      <c r="F25" s="42"/>
      <c r="G25" s="31">
        <f>G2+G4</f>
        <v>347137.02</v>
      </c>
      <c r="H25" s="31">
        <f>H2+H4</f>
        <v>389093.2</v>
      </c>
      <c r="I25" s="31">
        <f>I2+I4</f>
        <v>445810.87</v>
      </c>
      <c r="J25" s="43"/>
      <c r="K25" s="31">
        <f>K2+K4</f>
        <v>348712.12</v>
      </c>
      <c r="L25" s="31">
        <f>L2+L4</f>
        <v>339104.48</v>
      </c>
      <c r="M25" s="31">
        <f>M2+M4</f>
        <v>329004.24</v>
      </c>
      <c r="N25" s="42"/>
      <c r="O25" s="31">
        <f>O2+O4</f>
        <v>247013.99000000002</v>
      </c>
      <c r="P25" s="31">
        <f>P2+P4</f>
        <v>244581.75</v>
      </c>
      <c r="Q25" s="31">
        <f>Q2+Q4</f>
        <v>307080.73000000004</v>
      </c>
      <c r="R25" s="42"/>
    </row>
    <row r="26" spans="1:19" x14ac:dyDescent="0.25">
      <c r="A26" s="24" t="s">
        <v>62</v>
      </c>
      <c r="B26" s="35">
        <v>6.4999999999999997E-3</v>
      </c>
      <c r="C26" s="31">
        <f>C25*$B$26</f>
        <v>2173.4739</v>
      </c>
      <c r="D26" s="31">
        <f>D25*$B$26</f>
        <v>3000.14975</v>
      </c>
      <c r="E26" s="31">
        <f>E25*$B$26</f>
        <v>1560.6616999999997</v>
      </c>
      <c r="F26" s="42"/>
      <c r="G26" s="31">
        <f>G25*$B$26</f>
        <v>2256.3906299999999</v>
      </c>
      <c r="H26" s="31">
        <f>H25*$B$26</f>
        <v>2529.1057999999998</v>
      </c>
      <c r="I26" s="31">
        <f>I25*$B$26</f>
        <v>2897.7706549999998</v>
      </c>
      <c r="J26" s="43"/>
      <c r="K26" s="31">
        <f>K25*$B$26</f>
        <v>2266.62878</v>
      </c>
      <c r="L26" s="31">
        <f>L25*$B$26</f>
        <v>2204.1791199999998</v>
      </c>
      <c r="M26" s="31">
        <f>M25*$B$26</f>
        <v>2138.52756</v>
      </c>
      <c r="N26" s="42"/>
      <c r="O26" s="31">
        <f>O25*$B$26</f>
        <v>1605.5909349999999</v>
      </c>
      <c r="P26" s="31">
        <f>P25*$B$26</f>
        <v>1589.781375</v>
      </c>
      <c r="Q26" s="31">
        <f>Q25*$B$26</f>
        <v>1996.0247450000002</v>
      </c>
      <c r="R26" s="42"/>
    </row>
    <row r="27" spans="1:19" x14ac:dyDescent="0.25">
      <c r="A27" s="24" t="s">
        <v>63</v>
      </c>
      <c r="B27" s="25"/>
      <c r="C27" s="31"/>
      <c r="D27" s="31"/>
      <c r="E27" s="31"/>
      <c r="F27" s="42"/>
      <c r="G27" s="31"/>
      <c r="H27" s="31"/>
      <c r="I27" s="31"/>
      <c r="J27" s="43"/>
      <c r="K27" s="31"/>
      <c r="L27" s="31"/>
      <c r="M27" s="31"/>
      <c r="N27" s="42"/>
      <c r="O27" s="31"/>
      <c r="P27" s="31"/>
      <c r="Q27" s="31"/>
      <c r="R27" s="42"/>
    </row>
    <row r="28" spans="1:19" s="5" customFormat="1" x14ac:dyDescent="0.25">
      <c r="A28" s="32" t="s">
        <v>64</v>
      </c>
      <c r="B28" s="33"/>
      <c r="C28" s="29">
        <f>C26-C27</f>
        <v>2173.4739</v>
      </c>
      <c r="D28" s="29">
        <f>D26-D27</f>
        <v>3000.14975</v>
      </c>
      <c r="E28" s="29">
        <f>E26-E27</f>
        <v>1560.6616999999997</v>
      </c>
      <c r="F28" s="29"/>
      <c r="G28" s="29">
        <f>G26-G27</f>
        <v>2256.3906299999999</v>
      </c>
      <c r="H28" s="29">
        <f>H26-H27</f>
        <v>2529.1057999999998</v>
      </c>
      <c r="I28" s="29">
        <f>I26-I27</f>
        <v>2897.7706549999998</v>
      </c>
      <c r="J28" s="29"/>
      <c r="K28" s="29">
        <f>K26-K27</f>
        <v>2266.62878</v>
      </c>
      <c r="L28" s="29">
        <f>L26-L27</f>
        <v>2204.1791199999998</v>
      </c>
      <c r="M28" s="29">
        <f>M26-M27</f>
        <v>2138.52756</v>
      </c>
      <c r="N28" s="29"/>
      <c r="O28" s="29">
        <f>O26-O27</f>
        <v>1605.5909349999999</v>
      </c>
      <c r="P28" s="29">
        <f>P26-P27</f>
        <v>1589.781375</v>
      </c>
      <c r="Q28" s="29">
        <f>Q26-Q27</f>
        <v>1996.0247450000002</v>
      </c>
      <c r="R28" s="29"/>
    </row>
    <row r="29" spans="1:19" x14ac:dyDescent="0.25">
      <c r="A29" s="24" t="s">
        <v>65</v>
      </c>
      <c r="B29" s="25"/>
      <c r="C29" s="31">
        <f>C2+C4</f>
        <v>334380.59999999998</v>
      </c>
      <c r="D29" s="31">
        <f>D2+D4</f>
        <v>461561.5</v>
      </c>
      <c r="E29" s="31">
        <f>E2+E4</f>
        <v>240101.79999999996</v>
      </c>
      <c r="F29" s="42"/>
      <c r="G29" s="31">
        <f>G2+G4</f>
        <v>347137.02</v>
      </c>
      <c r="H29" s="31">
        <f>H2+H4</f>
        <v>389093.2</v>
      </c>
      <c r="I29" s="31">
        <f>I2+I4</f>
        <v>445810.87</v>
      </c>
      <c r="J29" s="43"/>
      <c r="K29" s="31">
        <f>K2+K4</f>
        <v>348712.12</v>
      </c>
      <c r="L29" s="31">
        <f>L2+L4</f>
        <v>339104.48</v>
      </c>
      <c r="M29" s="31">
        <f>M2+M4</f>
        <v>329004.24</v>
      </c>
      <c r="N29" s="42"/>
      <c r="O29" s="31">
        <f>O2+O4</f>
        <v>247013.99000000002</v>
      </c>
      <c r="P29" s="31">
        <f>P2+P4</f>
        <v>244581.75</v>
      </c>
      <c r="Q29" s="31">
        <f>Q2+Q4</f>
        <v>307080.73000000004</v>
      </c>
      <c r="R29" s="42"/>
    </row>
    <row r="30" spans="1:19" x14ac:dyDescent="0.25">
      <c r="A30" s="24" t="s">
        <v>66</v>
      </c>
      <c r="B30" s="35">
        <v>0.03</v>
      </c>
      <c r="C30" s="31">
        <f>C29*$B$30</f>
        <v>10031.418</v>
      </c>
      <c r="D30" s="31">
        <f>D29*$B$30</f>
        <v>13846.844999999999</v>
      </c>
      <c r="E30" s="31">
        <f>E29*$B$30</f>
        <v>7203.0539999999983</v>
      </c>
      <c r="F30" s="42"/>
      <c r="G30" s="31">
        <f>G29*$B$30</f>
        <v>10414.1106</v>
      </c>
      <c r="H30" s="31">
        <f>H29*$B$30</f>
        <v>11672.796</v>
      </c>
      <c r="I30" s="31">
        <f>I29*$B$30</f>
        <v>13374.3261</v>
      </c>
      <c r="J30" s="43"/>
      <c r="K30" s="31">
        <f>K29*$B$30</f>
        <v>10461.363599999999</v>
      </c>
      <c r="L30" s="31">
        <f>L29*$B$30</f>
        <v>10173.134399999999</v>
      </c>
      <c r="M30" s="31">
        <f>M29*$B$30</f>
        <v>9870.127199999999</v>
      </c>
      <c r="N30" s="42"/>
      <c r="O30" s="31">
        <f>O29*$B$30</f>
        <v>7410.4197000000004</v>
      </c>
      <c r="P30" s="31">
        <f>P29*$B$30</f>
        <v>7337.4524999999994</v>
      </c>
      <c r="Q30" s="31">
        <f>Q29*$B$30</f>
        <v>9212.4219000000012</v>
      </c>
      <c r="R30" s="42"/>
    </row>
    <row r="31" spans="1:19" x14ac:dyDescent="0.25">
      <c r="A31" s="24" t="s">
        <v>67</v>
      </c>
      <c r="B31" s="25"/>
      <c r="C31" s="31"/>
      <c r="D31" s="31"/>
      <c r="E31" s="31"/>
      <c r="F31" s="42"/>
      <c r="G31" s="31"/>
      <c r="H31" s="31"/>
      <c r="I31" s="31"/>
      <c r="J31" s="43"/>
      <c r="K31" s="31"/>
      <c r="L31" s="31"/>
      <c r="M31" s="31"/>
      <c r="N31" s="42"/>
      <c r="O31" s="31"/>
      <c r="P31" s="31"/>
      <c r="Q31" s="31"/>
      <c r="R31" s="42"/>
    </row>
    <row r="32" spans="1:19" s="5" customFormat="1" x14ac:dyDescent="0.25">
      <c r="A32" s="32" t="s">
        <v>68</v>
      </c>
      <c r="B32" s="33"/>
      <c r="C32" s="29">
        <f>C30-C31</f>
        <v>10031.418</v>
      </c>
      <c r="D32" s="29">
        <f>D30-D31</f>
        <v>13846.844999999999</v>
      </c>
      <c r="E32" s="29">
        <f>E30-E31</f>
        <v>7203.0539999999983</v>
      </c>
      <c r="F32" s="29"/>
      <c r="G32" s="29">
        <f>G30-G31</f>
        <v>10414.1106</v>
      </c>
      <c r="H32" s="29">
        <f>H30-H31</f>
        <v>11672.796</v>
      </c>
      <c r="I32" s="29">
        <f>I30-I31</f>
        <v>13374.3261</v>
      </c>
      <c r="J32" s="29"/>
      <c r="K32" s="29">
        <f>K30-K31</f>
        <v>10461.363599999999</v>
      </c>
      <c r="L32" s="29">
        <f>L30-L31</f>
        <v>10173.134399999999</v>
      </c>
      <c r="M32" s="29">
        <f>M30-M31</f>
        <v>9870.127199999999</v>
      </c>
      <c r="N32" s="29"/>
      <c r="O32" s="29">
        <f>O30-O31</f>
        <v>7410.4197000000004</v>
      </c>
      <c r="P32" s="29">
        <f>P30-P31</f>
        <v>7337.4524999999994</v>
      </c>
      <c r="Q32" s="29">
        <f>Q30-Q31</f>
        <v>9212.4219000000012</v>
      </c>
      <c r="R32" s="29"/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2"/>
  <sheetViews>
    <sheetView zoomScale="85" zoomScaleNormal="85" workbookViewId="0">
      <pane xSplit="2" ySplit="1" topLeftCell="E2" activePane="bottomRight" state="frozen"/>
      <selection pane="topRight" activeCell="E1" sqref="E1"/>
      <selection pane="bottomLeft" activeCell="A2" sqref="A2"/>
      <selection pane="bottomRight" activeCell="R26" sqref="R26"/>
    </sheetView>
  </sheetViews>
  <sheetFormatPr defaultRowHeight="15" outlineLevelCol="1" x14ac:dyDescent="0.25"/>
  <cols>
    <col min="1" max="1" width="19.5703125" customWidth="1"/>
    <col min="2" max="2" width="9.140625" style="19" customWidth="1"/>
    <col min="3" max="3" width="14.28515625" customWidth="1" outlineLevel="1"/>
    <col min="4" max="5" width="15.42578125" customWidth="1" outlineLevel="1"/>
    <col min="6" max="6" width="17.140625" style="5" customWidth="1"/>
    <col min="7" max="9" width="15.42578125" hidden="1" customWidth="1" outlineLevel="1"/>
    <col min="10" max="10" width="16.140625" style="30" customWidth="1"/>
    <col min="11" max="11" width="15.42578125" customWidth="1"/>
    <col min="12" max="12" width="15.42578125" style="20" customWidth="1"/>
    <col min="13" max="13" width="15.42578125" customWidth="1"/>
    <col min="14" max="14" width="16.42578125" style="5" customWidth="1"/>
    <col min="15" max="17" width="15.42578125" customWidth="1"/>
    <col min="18" max="18" width="16.42578125" style="5" customWidth="1"/>
    <col min="19" max="19" width="15.28515625" customWidth="1"/>
    <col min="20" max="1025" width="8.7109375" customWidth="1"/>
  </cols>
  <sheetData>
    <row r="1" spans="1:19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69</v>
      </c>
      <c r="G1" s="23" t="s">
        <v>38</v>
      </c>
      <c r="H1" s="23" t="s">
        <v>39</v>
      </c>
      <c r="I1" s="23" t="s">
        <v>40</v>
      </c>
      <c r="J1" s="36" t="s">
        <v>70</v>
      </c>
      <c r="K1" s="23" t="s">
        <v>41</v>
      </c>
      <c r="L1" s="23" t="s">
        <v>42</v>
      </c>
      <c r="M1" s="23" t="s">
        <v>43</v>
      </c>
      <c r="N1" s="23" t="s">
        <v>71</v>
      </c>
      <c r="O1" s="23" t="s">
        <v>44</v>
      </c>
      <c r="P1" s="23" t="s">
        <v>45</v>
      </c>
      <c r="Q1" s="23" t="s">
        <v>46</v>
      </c>
      <c r="R1" s="23" t="s">
        <v>72</v>
      </c>
    </row>
    <row r="2" spans="1:19" x14ac:dyDescent="0.25">
      <c r="A2" s="24" t="s">
        <v>49</v>
      </c>
      <c r="B2" s="25"/>
      <c r="C2" s="26">
        <f>349972.06-15774.56</f>
        <v>334197.5</v>
      </c>
      <c r="D2" s="26">
        <f>483587.24-22465.54</f>
        <v>461121.7</v>
      </c>
      <c r="E2" s="26">
        <f>251639.62-11609.98</f>
        <v>240029.63999999998</v>
      </c>
      <c r="F2" s="37">
        <f>SUM(C2:E2)</f>
        <v>1035348.84</v>
      </c>
      <c r="G2" s="26">
        <v>346903.52</v>
      </c>
      <c r="H2" s="26">
        <v>388805.25</v>
      </c>
      <c r="I2" s="26">
        <v>445629.72</v>
      </c>
      <c r="J2" s="37">
        <f>SUM(G2:I2)</f>
        <v>1181338.49</v>
      </c>
      <c r="K2" s="26">
        <v>348596.12</v>
      </c>
      <c r="L2" s="26">
        <v>339038.88</v>
      </c>
      <c r="M2" s="26">
        <v>328989.03999999998</v>
      </c>
      <c r="N2" s="37">
        <f>SUM(K2:M2)</f>
        <v>1016624.04</v>
      </c>
      <c r="O2" s="26">
        <v>246587.04</v>
      </c>
      <c r="P2" s="26">
        <v>244292.1</v>
      </c>
      <c r="Q2" s="26">
        <v>307067.58</v>
      </c>
      <c r="R2" s="37">
        <f>SUM(O2:Q2)</f>
        <v>797946.72</v>
      </c>
    </row>
    <row r="3" spans="1:19" x14ac:dyDescent="0.25">
      <c r="A3" s="24" t="s">
        <v>50</v>
      </c>
      <c r="B3" s="25">
        <v>0.08</v>
      </c>
      <c r="C3" s="26">
        <f t="shared" ref="C3:R3" si="0">C2*$B$3</f>
        <v>26735.8</v>
      </c>
      <c r="D3" s="26">
        <f t="shared" si="0"/>
        <v>36889.736000000004</v>
      </c>
      <c r="E3" s="26">
        <f t="shared" si="0"/>
        <v>19202.371199999998</v>
      </c>
      <c r="F3" s="37">
        <f t="shared" si="0"/>
        <v>82827.907200000001</v>
      </c>
      <c r="G3" s="26">
        <f t="shared" si="0"/>
        <v>27752.281600000002</v>
      </c>
      <c r="H3" s="26">
        <f t="shared" si="0"/>
        <v>31104.420000000002</v>
      </c>
      <c r="I3" s="26">
        <f t="shared" si="0"/>
        <v>35650.3776</v>
      </c>
      <c r="J3" s="37">
        <f t="shared" si="0"/>
        <v>94507.079200000007</v>
      </c>
      <c r="K3" s="26">
        <f t="shared" si="0"/>
        <v>27887.689600000002</v>
      </c>
      <c r="L3" s="26">
        <f t="shared" si="0"/>
        <v>27123.110400000001</v>
      </c>
      <c r="M3" s="26">
        <f t="shared" si="0"/>
        <v>26319.123199999998</v>
      </c>
      <c r="N3" s="37">
        <f t="shared" si="0"/>
        <v>81329.923200000005</v>
      </c>
      <c r="O3" s="26">
        <f t="shared" si="0"/>
        <v>19726.963200000002</v>
      </c>
      <c r="P3" s="26">
        <f t="shared" si="0"/>
        <v>19543.368000000002</v>
      </c>
      <c r="Q3" s="26">
        <f t="shared" si="0"/>
        <v>24565.406400000003</v>
      </c>
      <c r="R3" s="37">
        <f t="shared" si="0"/>
        <v>63835.7376</v>
      </c>
    </row>
    <row r="4" spans="1:19" x14ac:dyDescent="0.25">
      <c r="A4" s="24" t="s">
        <v>51</v>
      </c>
      <c r="B4" s="25"/>
      <c r="C4" s="26">
        <v>183.1</v>
      </c>
      <c r="D4" s="26">
        <v>39</v>
      </c>
      <c r="E4" s="26">
        <v>67.55</v>
      </c>
      <c r="F4" s="37">
        <f>SUM(C4:E4)</f>
        <v>289.64999999999998</v>
      </c>
      <c r="G4" s="26">
        <v>173.5</v>
      </c>
      <c r="H4" s="26">
        <v>287.95</v>
      </c>
      <c r="I4" s="26">
        <v>181.15</v>
      </c>
      <c r="J4" s="37">
        <f>SUM(G4:I4)</f>
        <v>642.6</v>
      </c>
      <c r="K4" s="26">
        <v>116</v>
      </c>
      <c r="L4" s="26">
        <v>65.599999999999994</v>
      </c>
      <c r="M4" s="26">
        <v>15.2</v>
      </c>
      <c r="N4" s="37">
        <f>SUM(K4:M4)</f>
        <v>196.79999999999998</v>
      </c>
      <c r="O4" s="26">
        <v>426.95</v>
      </c>
      <c r="P4" s="26">
        <v>289.64999999999998</v>
      </c>
      <c r="Q4" s="26">
        <v>13.15</v>
      </c>
      <c r="R4" s="37">
        <f>SUM(O4:Q4)</f>
        <v>729.74999999999989</v>
      </c>
    </row>
    <row r="5" spans="1:19" x14ac:dyDescent="0.25">
      <c r="A5" s="24" t="s">
        <v>50</v>
      </c>
      <c r="B5" s="25">
        <v>0.32</v>
      </c>
      <c r="C5" s="26">
        <f t="shared" ref="C5:R5" si="1">C4*$B$5</f>
        <v>58.591999999999999</v>
      </c>
      <c r="D5" s="26">
        <f t="shared" si="1"/>
        <v>12.48</v>
      </c>
      <c r="E5" s="26">
        <f t="shared" si="1"/>
        <v>21.616</v>
      </c>
      <c r="F5" s="37">
        <f t="shared" si="1"/>
        <v>92.687999999999988</v>
      </c>
      <c r="G5" s="26">
        <f t="shared" si="1"/>
        <v>55.52</v>
      </c>
      <c r="H5" s="26">
        <f t="shared" si="1"/>
        <v>92.143999999999991</v>
      </c>
      <c r="I5" s="26">
        <f t="shared" si="1"/>
        <v>57.968000000000004</v>
      </c>
      <c r="J5" s="37">
        <f t="shared" si="1"/>
        <v>205.63200000000001</v>
      </c>
      <c r="K5" s="26">
        <f t="shared" si="1"/>
        <v>37.119999999999997</v>
      </c>
      <c r="L5" s="26">
        <f t="shared" si="1"/>
        <v>20.991999999999997</v>
      </c>
      <c r="M5" s="26">
        <f t="shared" si="1"/>
        <v>4.8639999999999999</v>
      </c>
      <c r="N5" s="37">
        <f t="shared" si="1"/>
        <v>62.975999999999999</v>
      </c>
      <c r="O5" s="26">
        <f t="shared" si="1"/>
        <v>136.624</v>
      </c>
      <c r="P5" s="26">
        <f t="shared" si="1"/>
        <v>92.687999999999988</v>
      </c>
      <c r="Q5" s="26">
        <f t="shared" si="1"/>
        <v>4.2080000000000002</v>
      </c>
      <c r="R5" s="37">
        <f t="shared" si="1"/>
        <v>233.51999999999998</v>
      </c>
    </row>
    <row r="6" spans="1:19" x14ac:dyDescent="0.25">
      <c r="A6" s="24" t="s">
        <v>52</v>
      </c>
      <c r="B6" s="25"/>
      <c r="C6" s="26">
        <f>C3+$C$5</f>
        <v>26794.392</v>
      </c>
      <c r="D6" s="26">
        <f t="shared" ref="D6:R6" si="2">D3+D5</f>
        <v>36902.216000000008</v>
      </c>
      <c r="E6" s="26">
        <f t="shared" si="2"/>
        <v>19223.9872</v>
      </c>
      <c r="F6" s="37">
        <f t="shared" si="2"/>
        <v>82920.595199999996</v>
      </c>
      <c r="G6" s="26">
        <f t="shared" si="2"/>
        <v>27807.801600000003</v>
      </c>
      <c r="H6" s="26">
        <f t="shared" si="2"/>
        <v>31196.564000000002</v>
      </c>
      <c r="I6" s="26">
        <f t="shared" si="2"/>
        <v>35708.345600000001</v>
      </c>
      <c r="J6" s="37">
        <f t="shared" si="2"/>
        <v>94712.711200000005</v>
      </c>
      <c r="K6" s="26">
        <f t="shared" si="2"/>
        <v>27924.809600000001</v>
      </c>
      <c r="L6" s="26">
        <f t="shared" si="2"/>
        <v>27144.1024</v>
      </c>
      <c r="M6" s="26">
        <f t="shared" si="2"/>
        <v>26323.9872</v>
      </c>
      <c r="N6" s="37">
        <f t="shared" si="2"/>
        <v>81392.8992</v>
      </c>
      <c r="O6" s="26">
        <f t="shared" si="2"/>
        <v>19863.587200000002</v>
      </c>
      <c r="P6" s="26">
        <f t="shared" si="2"/>
        <v>19636.056</v>
      </c>
      <c r="Q6" s="26">
        <f t="shared" si="2"/>
        <v>24569.614400000002</v>
      </c>
      <c r="R6" s="37">
        <f t="shared" si="2"/>
        <v>64069.257599999997</v>
      </c>
    </row>
    <row r="7" spans="1:19" x14ac:dyDescent="0.25">
      <c r="A7" s="24" t="s">
        <v>53</v>
      </c>
      <c r="B7" s="25"/>
      <c r="C7" s="26">
        <v>1302.67</v>
      </c>
      <c r="D7" s="26">
        <v>4629.1000000000004</v>
      </c>
      <c r="E7" s="26">
        <v>864.26</v>
      </c>
      <c r="F7" s="37">
        <f>SUM(C7:E7)</f>
        <v>6796.0300000000007</v>
      </c>
      <c r="G7" s="26"/>
      <c r="H7" s="26"/>
      <c r="I7" s="26">
        <v>3178.84</v>
      </c>
      <c r="J7" s="37">
        <f>SUM(G7:I7)</f>
        <v>3178.84</v>
      </c>
      <c r="K7" s="26"/>
      <c r="L7" s="26"/>
      <c r="M7" s="26"/>
      <c r="N7" s="37">
        <v>37407.629999999997</v>
      </c>
      <c r="O7" s="26"/>
      <c r="P7" s="26"/>
      <c r="Q7" s="26">
        <v>6803.13</v>
      </c>
      <c r="R7" s="37">
        <f>SUM(O7:Q7)</f>
        <v>6803.13</v>
      </c>
    </row>
    <row r="8" spans="1:19" x14ac:dyDescent="0.25">
      <c r="A8" s="24" t="s">
        <v>54</v>
      </c>
      <c r="B8" s="25"/>
      <c r="C8" s="26">
        <f>C6+C7</f>
        <v>28097.061999999998</v>
      </c>
      <c r="D8" s="26">
        <f>D6+D7</f>
        <v>41531.316000000006</v>
      </c>
      <c r="E8" s="26">
        <f>E6+E7</f>
        <v>20088.247199999998</v>
      </c>
      <c r="F8" s="37">
        <f>SUM(F6:F7)</f>
        <v>89716.625199999995</v>
      </c>
      <c r="G8" s="26">
        <f>G6+G7</f>
        <v>27807.801600000003</v>
      </c>
      <c r="H8" s="26">
        <f>H6+H7</f>
        <v>31196.564000000002</v>
      </c>
      <c r="I8" s="26">
        <f>I6+I7</f>
        <v>38887.185599999997</v>
      </c>
      <c r="J8" s="37">
        <f>SUM(J6:J7)</f>
        <v>97891.551200000002</v>
      </c>
      <c r="K8" s="26">
        <f>K6+K7</f>
        <v>27924.809600000001</v>
      </c>
      <c r="L8" s="26">
        <f>L6+L7</f>
        <v>27144.1024</v>
      </c>
      <c r="M8" s="26">
        <f>M6+M7</f>
        <v>26323.9872</v>
      </c>
      <c r="N8" s="37">
        <f>SUM(N6:N7)</f>
        <v>118800.52919999999</v>
      </c>
      <c r="O8" s="26">
        <f>O6+O7</f>
        <v>19863.587200000002</v>
      </c>
      <c r="P8" s="26">
        <f>P6+P7</f>
        <v>19636.056</v>
      </c>
      <c r="Q8" s="26">
        <f>Q6+Q7</f>
        <v>31372.744400000003</v>
      </c>
      <c r="R8" s="37">
        <f>SUM(R6:R7)</f>
        <v>70872.387600000002</v>
      </c>
    </row>
    <row r="9" spans="1:19" x14ac:dyDescent="0.25">
      <c r="A9" s="24" t="s">
        <v>19</v>
      </c>
      <c r="B9" s="25">
        <v>0.15</v>
      </c>
      <c r="C9" s="26">
        <f t="shared" ref="C9:R9" si="3">C8*$B$9</f>
        <v>4214.5592999999999</v>
      </c>
      <c r="D9" s="26">
        <f t="shared" si="3"/>
        <v>6229.6974000000009</v>
      </c>
      <c r="E9" s="26">
        <f t="shared" si="3"/>
        <v>3013.2370799999994</v>
      </c>
      <c r="F9" s="37">
        <f t="shared" si="3"/>
        <v>13457.493779999999</v>
      </c>
      <c r="G9" s="26">
        <f t="shared" si="3"/>
        <v>4171.1702400000004</v>
      </c>
      <c r="H9" s="26">
        <f t="shared" si="3"/>
        <v>4679.4845999999998</v>
      </c>
      <c r="I9" s="26">
        <f t="shared" si="3"/>
        <v>5833.077839999999</v>
      </c>
      <c r="J9" s="37">
        <f t="shared" si="3"/>
        <v>14683.732679999999</v>
      </c>
      <c r="K9" s="26">
        <f t="shared" si="3"/>
        <v>4188.7214400000003</v>
      </c>
      <c r="L9" s="26">
        <f t="shared" si="3"/>
        <v>4071.6153599999998</v>
      </c>
      <c r="M9" s="26">
        <f t="shared" si="3"/>
        <v>3948.5980799999998</v>
      </c>
      <c r="N9" s="37">
        <f t="shared" si="3"/>
        <v>17820.079379999999</v>
      </c>
      <c r="O9" s="26">
        <f t="shared" si="3"/>
        <v>2979.5380800000003</v>
      </c>
      <c r="P9" s="26">
        <f t="shared" si="3"/>
        <v>2945.4083999999998</v>
      </c>
      <c r="Q9" s="26">
        <f t="shared" si="3"/>
        <v>4705.9116600000007</v>
      </c>
      <c r="R9" s="37">
        <f t="shared" si="3"/>
        <v>10630.85814</v>
      </c>
    </row>
    <row r="10" spans="1:19" x14ac:dyDescent="0.25">
      <c r="A10" s="24" t="s">
        <v>55</v>
      </c>
      <c r="B10" s="25"/>
      <c r="C10" s="26">
        <f>IF(C8&gt;20000,(C8-20000)*0.1," ")</f>
        <v>809.70619999999985</v>
      </c>
      <c r="D10" s="26">
        <f>IF(D8&gt;20000,(D8-20000)*0.1," ")</f>
        <v>2153.1316000000006</v>
      </c>
      <c r="E10" s="26">
        <f>IF(E8&gt;20000,(E8-20000)*0.1," ")</f>
        <v>8.8247199999997985</v>
      </c>
      <c r="F10" s="37">
        <f>IF(F8&gt;60000,(F8-60000)*0.1," ")</f>
        <v>2971.6625199999999</v>
      </c>
      <c r="G10" s="26">
        <f>IF(G8&gt;20000,(G8-20000)*0.1," ")</f>
        <v>780.78016000000025</v>
      </c>
      <c r="H10" s="26">
        <f>IF(H8&gt;20000,(H8-20000)*0.1," ")</f>
        <v>1119.6564000000003</v>
      </c>
      <c r="I10" s="26">
        <f>IF(I8&gt;20000,(I8-20000)*0.1," ")</f>
        <v>1888.7185599999998</v>
      </c>
      <c r="J10" s="37">
        <f>IF(J8&gt;60000,(J8-60000)*0.1," ")</f>
        <v>3789.1551200000004</v>
      </c>
      <c r="K10" s="26">
        <f>IF(K8&gt;20000,(K8-20000)*0.1," ")</f>
        <v>792.4809600000001</v>
      </c>
      <c r="L10" s="26">
        <f>IF(L8&gt;20000,(L8-20000)*0.1," ")</f>
        <v>714.41024000000004</v>
      </c>
      <c r="M10" s="26">
        <f>IF(M8&gt;20000,(M8-20000)*0.1," ")</f>
        <v>632.39872000000003</v>
      </c>
      <c r="N10" s="37">
        <f>IF(N8&gt;60000,(N8-60000)*0.1," ")</f>
        <v>5880.0529199999992</v>
      </c>
      <c r="O10" s="26" t="str">
        <f>IF(O8&gt;20000,(O8-20000)*0.1," ")</f>
        <v xml:space="preserve"> </v>
      </c>
      <c r="P10" s="26" t="str">
        <f>IF(P8&gt;20000,(P8-20000)*0.1," ")</f>
        <v xml:space="preserve"> </v>
      </c>
      <c r="Q10" s="26">
        <f>IF(Q8&gt;20000,(Q8-20000)*0.1," ")</f>
        <v>1137.2744400000004</v>
      </c>
      <c r="R10" s="37">
        <f>SUM(O10:Q10)</f>
        <v>1137.2744400000004</v>
      </c>
    </row>
    <row r="11" spans="1:19" x14ac:dyDescent="0.25">
      <c r="A11" s="24" t="s">
        <v>56</v>
      </c>
      <c r="B11" s="25"/>
      <c r="C11" s="26">
        <v>24.04</v>
      </c>
      <c r="D11" s="26">
        <v>1932.08</v>
      </c>
      <c r="E11" s="26">
        <v>115.1</v>
      </c>
      <c r="F11" s="37">
        <f>SUM(C11:E11)</f>
        <v>2071.2199999999998</v>
      </c>
      <c r="G11" s="26"/>
      <c r="H11" s="26"/>
      <c r="I11" s="26">
        <v>272.36</v>
      </c>
      <c r="J11" s="37">
        <f>SUM(G11:I11)</f>
        <v>272.36</v>
      </c>
      <c r="K11" s="26"/>
      <c r="L11" s="26"/>
      <c r="M11" s="26"/>
      <c r="N11" s="37">
        <v>6355.22</v>
      </c>
      <c r="O11" s="26"/>
      <c r="P11" s="26"/>
      <c r="Q11" s="26">
        <v>383.49</v>
      </c>
      <c r="R11" s="37">
        <f>SUM(O11:Q11)</f>
        <v>383.49</v>
      </c>
    </row>
    <row r="12" spans="1:19" s="30" customFormat="1" x14ac:dyDescent="0.25">
      <c r="A12" s="28" t="s">
        <v>57</v>
      </c>
      <c r="B12" s="29"/>
      <c r="C12" s="29">
        <f t="shared" ref="C12:R12" si="4">SUM(C9:C10)-C11</f>
        <v>5000.2254999999996</v>
      </c>
      <c r="D12" s="29">
        <f t="shared" si="4"/>
        <v>6450.7490000000016</v>
      </c>
      <c r="E12" s="29">
        <f t="shared" si="4"/>
        <v>2906.9617999999991</v>
      </c>
      <c r="F12" s="29">
        <f t="shared" si="4"/>
        <v>14357.936299999999</v>
      </c>
      <c r="G12" s="29">
        <f t="shared" si="4"/>
        <v>4951.9504000000006</v>
      </c>
      <c r="H12" s="29">
        <f t="shared" si="4"/>
        <v>5799.1409999999996</v>
      </c>
      <c r="I12" s="29">
        <f t="shared" si="4"/>
        <v>7449.4363999999996</v>
      </c>
      <c r="J12" s="29">
        <f t="shared" si="4"/>
        <v>18200.5278</v>
      </c>
      <c r="K12" s="29">
        <f t="shared" si="4"/>
        <v>4981.2024000000001</v>
      </c>
      <c r="L12" s="29">
        <f t="shared" si="4"/>
        <v>4786.0255999999999</v>
      </c>
      <c r="M12" s="29">
        <f t="shared" si="4"/>
        <v>4580.9967999999999</v>
      </c>
      <c r="N12" s="29">
        <f t="shared" si="4"/>
        <v>17344.912299999996</v>
      </c>
      <c r="O12" s="29">
        <f t="shared" si="4"/>
        <v>2979.5380800000003</v>
      </c>
      <c r="P12" s="29">
        <f t="shared" si="4"/>
        <v>2945.4083999999998</v>
      </c>
      <c r="Q12" s="29">
        <f t="shared" si="4"/>
        <v>5459.696100000001</v>
      </c>
      <c r="R12" s="29">
        <f t="shared" si="4"/>
        <v>11384.642580000002</v>
      </c>
      <c r="S12" s="30">
        <f>SUM(R12,N12,J12,F12)</f>
        <v>61288.018979999993</v>
      </c>
    </row>
    <row r="13" spans="1:19" s="41" customFormat="1" x14ac:dyDescent="0.25">
      <c r="A13" s="38" t="s">
        <v>73</v>
      </c>
      <c r="B13" s="39"/>
      <c r="C13" s="39"/>
      <c r="D13" s="39"/>
      <c r="E13" s="39"/>
      <c r="F13" s="40">
        <v>14366.05</v>
      </c>
      <c r="G13" s="39"/>
      <c r="H13" s="39"/>
      <c r="I13" s="39"/>
      <c r="J13" s="40">
        <v>18201.73</v>
      </c>
      <c r="K13" s="39"/>
      <c r="L13" s="39"/>
      <c r="M13" s="39"/>
      <c r="N13" s="40">
        <v>17344.91</v>
      </c>
      <c r="O13" s="39"/>
      <c r="P13" s="39"/>
      <c r="Q13" s="39"/>
      <c r="R13" s="40">
        <v>11834.64</v>
      </c>
      <c r="S13" s="30">
        <f>SUM(R13,N13,J13,F13)</f>
        <v>61747.33</v>
      </c>
    </row>
    <row r="14" spans="1:19" x14ac:dyDescent="0.25">
      <c r="A14" s="24" t="s">
        <v>49</v>
      </c>
      <c r="B14" s="25"/>
      <c r="C14" s="31">
        <f>C2</f>
        <v>334197.5</v>
      </c>
      <c r="D14" s="26">
        <f>D2</f>
        <v>461121.7</v>
      </c>
      <c r="E14" s="26">
        <f>E2</f>
        <v>240029.63999999998</v>
      </c>
      <c r="F14" s="37">
        <f>SUM(C14:E14)</f>
        <v>1035348.84</v>
      </c>
      <c r="G14" s="26">
        <f>G2</f>
        <v>346903.52</v>
      </c>
      <c r="H14" s="26">
        <f>H2</f>
        <v>388805.25</v>
      </c>
      <c r="I14" s="26">
        <f>I2</f>
        <v>445629.72</v>
      </c>
      <c r="J14" s="37">
        <f>SUM(G14:I14)</f>
        <v>1181338.49</v>
      </c>
      <c r="K14" s="26">
        <f t="shared" ref="K14:R14" si="5">K2</f>
        <v>348596.12</v>
      </c>
      <c r="L14" s="26">
        <f t="shared" si="5"/>
        <v>339038.88</v>
      </c>
      <c r="M14" s="26">
        <f t="shared" si="5"/>
        <v>328989.03999999998</v>
      </c>
      <c r="N14" s="37">
        <f t="shared" si="5"/>
        <v>1016624.04</v>
      </c>
      <c r="O14" s="26">
        <f t="shared" si="5"/>
        <v>246587.04</v>
      </c>
      <c r="P14" s="26">
        <f t="shared" si="5"/>
        <v>244292.1</v>
      </c>
      <c r="Q14" s="26">
        <f t="shared" si="5"/>
        <v>307067.58</v>
      </c>
      <c r="R14" s="37">
        <f t="shared" si="5"/>
        <v>797946.72</v>
      </c>
      <c r="S14" s="30">
        <f>S12-S13</f>
        <v>-459.31102000000828</v>
      </c>
    </row>
    <row r="15" spans="1:19" x14ac:dyDescent="0.25">
      <c r="A15" s="24" t="s">
        <v>58</v>
      </c>
      <c r="B15" s="25">
        <v>0.12</v>
      </c>
      <c r="C15" s="31">
        <f t="shared" ref="C15:R15" si="6">C14*$B$15</f>
        <v>40103.699999999997</v>
      </c>
      <c r="D15" s="26">
        <f t="shared" si="6"/>
        <v>55334.603999999999</v>
      </c>
      <c r="E15" s="26">
        <f t="shared" si="6"/>
        <v>28803.556799999998</v>
      </c>
      <c r="F15" s="37">
        <f t="shared" si="6"/>
        <v>124241.86079999999</v>
      </c>
      <c r="G15" s="26">
        <f t="shared" si="6"/>
        <v>41628.422400000003</v>
      </c>
      <c r="H15" s="26">
        <f t="shared" si="6"/>
        <v>46656.63</v>
      </c>
      <c r="I15" s="26">
        <f t="shared" si="6"/>
        <v>53475.566399999996</v>
      </c>
      <c r="J15" s="37">
        <f t="shared" si="6"/>
        <v>141760.6188</v>
      </c>
      <c r="K15" s="26">
        <f t="shared" si="6"/>
        <v>41831.534399999997</v>
      </c>
      <c r="L15" s="26">
        <f t="shared" si="6"/>
        <v>40684.6656</v>
      </c>
      <c r="M15" s="26">
        <f t="shared" si="6"/>
        <v>39478.684799999995</v>
      </c>
      <c r="N15" s="37">
        <f t="shared" si="6"/>
        <v>121994.8848</v>
      </c>
      <c r="O15" s="26">
        <f t="shared" si="6"/>
        <v>29590.444800000001</v>
      </c>
      <c r="P15" s="26">
        <f t="shared" si="6"/>
        <v>29315.052</v>
      </c>
      <c r="Q15" s="26">
        <f t="shared" si="6"/>
        <v>36848.109600000003</v>
      </c>
      <c r="R15" s="37">
        <f t="shared" si="6"/>
        <v>95753.60639999999</v>
      </c>
      <c r="S15" s="30"/>
    </row>
    <row r="16" spans="1:19" x14ac:dyDescent="0.25">
      <c r="A16" s="24" t="s">
        <v>51</v>
      </c>
      <c r="B16" s="25"/>
      <c r="C16" s="31">
        <f>C4</f>
        <v>183.1</v>
      </c>
      <c r="D16" s="26">
        <f>D4</f>
        <v>39</v>
      </c>
      <c r="E16" s="26">
        <f>E4</f>
        <v>67.55</v>
      </c>
      <c r="F16" s="37">
        <f>SUM(C16:E16)</f>
        <v>289.64999999999998</v>
      </c>
      <c r="G16" s="26">
        <f>G4</f>
        <v>173.5</v>
      </c>
      <c r="H16" s="26">
        <f>H4</f>
        <v>287.95</v>
      </c>
      <c r="I16" s="26">
        <f>I4</f>
        <v>181.15</v>
      </c>
      <c r="J16" s="37">
        <f>SUM(G16:I16)</f>
        <v>642.6</v>
      </c>
      <c r="K16" s="26">
        <f t="shared" ref="K16:R16" si="7">K4</f>
        <v>116</v>
      </c>
      <c r="L16" s="26">
        <f t="shared" si="7"/>
        <v>65.599999999999994</v>
      </c>
      <c r="M16" s="26">
        <f t="shared" si="7"/>
        <v>15.2</v>
      </c>
      <c r="N16" s="37">
        <f t="shared" si="7"/>
        <v>196.79999999999998</v>
      </c>
      <c r="O16" s="26">
        <f t="shared" si="7"/>
        <v>426.95</v>
      </c>
      <c r="P16" s="26">
        <f t="shared" si="7"/>
        <v>289.64999999999998</v>
      </c>
      <c r="Q16" s="26">
        <f t="shared" si="7"/>
        <v>13.15</v>
      </c>
      <c r="R16" s="37">
        <f t="shared" si="7"/>
        <v>729.74999999999989</v>
      </c>
      <c r="S16" s="30">
        <f>R13-R12</f>
        <v>449.99741999999787</v>
      </c>
    </row>
    <row r="17" spans="1:19" x14ac:dyDescent="0.25">
      <c r="A17" s="24" t="s">
        <v>58</v>
      </c>
      <c r="B17" s="25">
        <v>0.32</v>
      </c>
      <c r="C17" s="31">
        <f t="shared" ref="C17:R17" si="8">C16*$B$17</f>
        <v>58.591999999999999</v>
      </c>
      <c r="D17" s="26">
        <f t="shared" si="8"/>
        <v>12.48</v>
      </c>
      <c r="E17" s="26">
        <f t="shared" si="8"/>
        <v>21.616</v>
      </c>
      <c r="F17" s="37">
        <f t="shared" si="8"/>
        <v>92.687999999999988</v>
      </c>
      <c r="G17" s="26">
        <f t="shared" si="8"/>
        <v>55.52</v>
      </c>
      <c r="H17" s="26">
        <f t="shared" si="8"/>
        <v>92.143999999999991</v>
      </c>
      <c r="I17" s="26">
        <f t="shared" si="8"/>
        <v>57.968000000000004</v>
      </c>
      <c r="J17" s="37">
        <f t="shared" si="8"/>
        <v>205.63200000000001</v>
      </c>
      <c r="K17" s="26">
        <f t="shared" si="8"/>
        <v>37.119999999999997</v>
      </c>
      <c r="L17" s="26">
        <f t="shared" si="8"/>
        <v>20.991999999999997</v>
      </c>
      <c r="M17" s="26">
        <f t="shared" si="8"/>
        <v>4.8639999999999999</v>
      </c>
      <c r="N17" s="37">
        <f t="shared" si="8"/>
        <v>62.975999999999999</v>
      </c>
      <c r="O17" s="26">
        <f t="shared" si="8"/>
        <v>136.624</v>
      </c>
      <c r="P17" s="26">
        <f t="shared" si="8"/>
        <v>92.687999999999988</v>
      </c>
      <c r="Q17" s="26">
        <f t="shared" si="8"/>
        <v>4.2080000000000002</v>
      </c>
      <c r="R17" s="37">
        <f t="shared" si="8"/>
        <v>233.51999999999998</v>
      </c>
      <c r="S17" s="30"/>
    </row>
    <row r="18" spans="1:19" x14ac:dyDescent="0.25">
      <c r="A18" s="24" t="s">
        <v>52</v>
      </c>
      <c r="B18" s="25"/>
      <c r="C18" s="31">
        <f>C15+C17</f>
        <v>40162.291999999994</v>
      </c>
      <c r="D18" s="26">
        <f>D15+D17</f>
        <v>55347.084000000003</v>
      </c>
      <c r="E18" s="26">
        <f>E15+E17</f>
        <v>28825.1728</v>
      </c>
      <c r="F18" s="37">
        <f>SUM(C18:E18)</f>
        <v>124334.54879999999</v>
      </c>
      <c r="G18" s="26">
        <f>G15+G17</f>
        <v>41683.9424</v>
      </c>
      <c r="H18" s="26">
        <f>H15+H17</f>
        <v>46748.773999999998</v>
      </c>
      <c r="I18" s="26">
        <f>I15+I17</f>
        <v>53533.534399999997</v>
      </c>
      <c r="J18" s="37">
        <f>SUM(G18:I18)</f>
        <v>141966.25080000001</v>
      </c>
      <c r="K18" s="26">
        <f t="shared" ref="K18:R18" si="9">K15+K17</f>
        <v>41868.654399999999</v>
      </c>
      <c r="L18" s="26">
        <f t="shared" si="9"/>
        <v>40705.657599999999</v>
      </c>
      <c r="M18" s="26">
        <f t="shared" si="9"/>
        <v>39483.548799999997</v>
      </c>
      <c r="N18" s="37">
        <f t="shared" si="9"/>
        <v>122057.86079999999</v>
      </c>
      <c r="O18" s="26">
        <f t="shared" si="9"/>
        <v>29727.068800000001</v>
      </c>
      <c r="P18" s="26">
        <f t="shared" si="9"/>
        <v>29407.739999999998</v>
      </c>
      <c r="Q18" s="26">
        <f t="shared" si="9"/>
        <v>36852.317600000002</v>
      </c>
      <c r="R18" s="37">
        <f t="shared" si="9"/>
        <v>95987.126399999994</v>
      </c>
      <c r="S18" s="30"/>
    </row>
    <row r="19" spans="1:19" x14ac:dyDescent="0.25">
      <c r="A19" s="24" t="s">
        <v>53</v>
      </c>
      <c r="B19" s="25"/>
      <c r="C19" s="31">
        <f>C7</f>
        <v>1302.67</v>
      </c>
      <c r="D19" s="26">
        <f>D7</f>
        <v>4629.1000000000004</v>
      </c>
      <c r="E19" s="26">
        <f>E7</f>
        <v>864.26</v>
      </c>
      <c r="F19" s="37">
        <f>SUM(C19:E19)</f>
        <v>6796.0300000000007</v>
      </c>
      <c r="G19" s="26">
        <f>G7</f>
        <v>0</v>
      </c>
      <c r="H19" s="26">
        <f>H7</f>
        <v>0</v>
      </c>
      <c r="I19" s="26">
        <f>I7</f>
        <v>3178.84</v>
      </c>
      <c r="J19" s="37">
        <f>SUM(G19:I19)</f>
        <v>3178.84</v>
      </c>
      <c r="K19" s="26"/>
      <c r="L19" s="26"/>
      <c r="M19" s="26">
        <f t="shared" ref="M19:R19" si="10">M7</f>
        <v>0</v>
      </c>
      <c r="N19" s="37">
        <f t="shared" si="10"/>
        <v>37407.629999999997</v>
      </c>
      <c r="O19" s="26">
        <f t="shared" si="10"/>
        <v>0</v>
      </c>
      <c r="P19" s="26">
        <f t="shared" si="10"/>
        <v>0</v>
      </c>
      <c r="Q19" s="26">
        <f t="shared" si="10"/>
        <v>6803.13</v>
      </c>
      <c r="R19" s="37">
        <f t="shared" si="10"/>
        <v>6803.13</v>
      </c>
      <c r="S19" s="30"/>
    </row>
    <row r="20" spans="1:19" x14ac:dyDescent="0.25">
      <c r="A20" s="24" t="s">
        <v>54</v>
      </c>
      <c r="B20" s="25"/>
      <c r="C20" s="31">
        <f t="shared" ref="C20:R20" si="11">C18+C19</f>
        <v>41464.961999999992</v>
      </c>
      <c r="D20" s="26">
        <f t="shared" si="11"/>
        <v>59976.184000000001</v>
      </c>
      <c r="E20" s="26">
        <f t="shared" si="11"/>
        <v>29689.432799999999</v>
      </c>
      <c r="F20" s="37">
        <f t="shared" si="11"/>
        <v>131130.57879999999</v>
      </c>
      <c r="G20" s="26">
        <f t="shared" si="11"/>
        <v>41683.9424</v>
      </c>
      <c r="H20" s="26">
        <f t="shared" si="11"/>
        <v>46748.773999999998</v>
      </c>
      <c r="I20" s="26">
        <f t="shared" si="11"/>
        <v>56712.374400000001</v>
      </c>
      <c r="J20" s="37">
        <f t="shared" si="11"/>
        <v>145145.09080000001</v>
      </c>
      <c r="K20" s="26">
        <f t="shared" si="11"/>
        <v>41868.654399999999</v>
      </c>
      <c r="L20" s="26">
        <f t="shared" si="11"/>
        <v>40705.657599999999</v>
      </c>
      <c r="M20" s="26">
        <f t="shared" si="11"/>
        <v>39483.548799999997</v>
      </c>
      <c r="N20" s="37">
        <f t="shared" si="11"/>
        <v>159465.4908</v>
      </c>
      <c r="O20" s="26">
        <f t="shared" si="11"/>
        <v>29727.068800000001</v>
      </c>
      <c r="P20" s="26">
        <f t="shared" si="11"/>
        <v>29407.739999999998</v>
      </c>
      <c r="Q20" s="26">
        <f t="shared" si="11"/>
        <v>43655.4476</v>
      </c>
      <c r="R20" s="37">
        <f t="shared" si="11"/>
        <v>102790.2564</v>
      </c>
      <c r="S20" s="30"/>
    </row>
    <row r="21" spans="1:19" x14ac:dyDescent="0.25">
      <c r="A21" s="24" t="s">
        <v>27</v>
      </c>
      <c r="B21" s="25">
        <v>0.09</v>
      </c>
      <c r="C21" s="31">
        <f t="shared" ref="C21:R21" si="12">C20*$B$21</f>
        <v>3731.846579999999</v>
      </c>
      <c r="D21" s="26">
        <f t="shared" si="12"/>
        <v>5397.8565600000002</v>
      </c>
      <c r="E21" s="26">
        <f t="shared" si="12"/>
        <v>2672.0489519999996</v>
      </c>
      <c r="F21" s="37">
        <f t="shared" si="12"/>
        <v>11801.752091999999</v>
      </c>
      <c r="G21" s="26">
        <f t="shared" si="12"/>
        <v>3751.5548159999998</v>
      </c>
      <c r="H21" s="26">
        <f t="shared" si="12"/>
        <v>4207.3896599999998</v>
      </c>
      <c r="I21" s="26">
        <f t="shared" si="12"/>
        <v>5104.1136959999994</v>
      </c>
      <c r="J21" s="37">
        <f t="shared" si="12"/>
        <v>13063.058171999999</v>
      </c>
      <c r="K21" s="26">
        <f t="shared" si="12"/>
        <v>3768.1788959999999</v>
      </c>
      <c r="L21" s="26">
        <f t="shared" si="12"/>
        <v>3663.5091839999995</v>
      </c>
      <c r="M21" s="26">
        <f t="shared" si="12"/>
        <v>3553.5193919999997</v>
      </c>
      <c r="N21" s="37">
        <f t="shared" si="12"/>
        <v>14351.894172</v>
      </c>
      <c r="O21" s="26">
        <f t="shared" si="12"/>
        <v>2675.4361920000001</v>
      </c>
      <c r="P21" s="26">
        <f t="shared" si="12"/>
        <v>2646.6965999999998</v>
      </c>
      <c r="Q21" s="26">
        <f t="shared" si="12"/>
        <v>3928.990284</v>
      </c>
      <c r="R21" s="37">
        <f t="shared" si="12"/>
        <v>9251.1230759999999</v>
      </c>
      <c r="S21" s="30"/>
    </row>
    <row r="22" spans="1:19" x14ac:dyDescent="0.25">
      <c r="A22" s="24" t="s">
        <v>59</v>
      </c>
      <c r="B22" s="25"/>
      <c r="C22" s="31"/>
      <c r="D22" s="26"/>
      <c r="E22" s="26"/>
      <c r="F22" s="37">
        <f>SUM(C22:E22)</f>
        <v>0</v>
      </c>
      <c r="G22" s="26"/>
      <c r="H22" s="26"/>
      <c r="I22" s="26"/>
      <c r="J22" s="37">
        <f>SUM(G22:I22)</f>
        <v>0</v>
      </c>
      <c r="K22" s="26"/>
      <c r="L22" s="26"/>
      <c r="M22" s="26"/>
      <c r="N22" s="37"/>
      <c r="O22" s="26"/>
      <c r="P22" s="26"/>
      <c r="Q22" s="26"/>
      <c r="R22" s="37"/>
      <c r="S22" s="30"/>
    </row>
    <row r="23" spans="1:19" s="5" customFormat="1" x14ac:dyDescent="0.25">
      <c r="A23" s="32" t="s">
        <v>60</v>
      </c>
      <c r="B23" s="33"/>
      <c r="C23" s="29">
        <f t="shared" ref="C23:R23" si="13">C21-C22</f>
        <v>3731.846579999999</v>
      </c>
      <c r="D23" s="29">
        <f t="shared" si="13"/>
        <v>5397.8565600000002</v>
      </c>
      <c r="E23" s="29">
        <f t="shared" si="13"/>
        <v>2672.0489519999996</v>
      </c>
      <c r="F23" s="29">
        <f t="shared" si="13"/>
        <v>11801.752091999999</v>
      </c>
      <c r="G23" s="29">
        <f t="shared" si="13"/>
        <v>3751.5548159999998</v>
      </c>
      <c r="H23" s="29">
        <f t="shared" si="13"/>
        <v>4207.3896599999998</v>
      </c>
      <c r="I23" s="29">
        <f t="shared" si="13"/>
        <v>5104.1136959999994</v>
      </c>
      <c r="J23" s="29">
        <f t="shared" si="13"/>
        <v>13063.058171999999</v>
      </c>
      <c r="K23" s="29">
        <f t="shared" si="13"/>
        <v>3768.1788959999999</v>
      </c>
      <c r="L23" s="29">
        <f t="shared" si="13"/>
        <v>3663.5091839999995</v>
      </c>
      <c r="M23" s="29">
        <f t="shared" si="13"/>
        <v>3553.5193919999997</v>
      </c>
      <c r="N23" s="29">
        <f t="shared" si="13"/>
        <v>14351.894172</v>
      </c>
      <c r="O23" s="29">
        <f t="shared" si="13"/>
        <v>2675.4361920000001</v>
      </c>
      <c r="P23" s="29">
        <f t="shared" si="13"/>
        <v>2646.6965999999998</v>
      </c>
      <c r="Q23" s="29">
        <f t="shared" si="13"/>
        <v>3928.990284</v>
      </c>
      <c r="R23" s="29">
        <f t="shared" si="13"/>
        <v>9251.1230759999999</v>
      </c>
      <c r="S23" s="30">
        <f>SUM(R23,N23,J23,F23)</f>
        <v>48467.827512000003</v>
      </c>
    </row>
    <row r="24" spans="1:19" s="41" customFormat="1" x14ac:dyDescent="0.25">
      <c r="A24" s="38" t="s">
        <v>74</v>
      </c>
      <c r="B24" s="39"/>
      <c r="C24" s="39"/>
      <c r="D24" s="39"/>
      <c r="E24" s="39"/>
      <c r="F24" s="40">
        <v>11806.14</v>
      </c>
      <c r="G24" s="39"/>
      <c r="H24" s="39"/>
      <c r="I24" s="39"/>
      <c r="J24" s="40">
        <v>13063.72</v>
      </c>
      <c r="K24" s="39"/>
      <c r="L24" s="39"/>
      <c r="M24" s="39"/>
      <c r="N24" s="40">
        <v>14351.9</v>
      </c>
      <c r="O24" s="39"/>
      <c r="P24" s="39"/>
      <c r="Q24" s="39"/>
      <c r="R24" s="40">
        <v>9251.1200000000008</v>
      </c>
      <c r="S24" s="30">
        <f>SUM(R24,N24,J24,F24)</f>
        <v>48472.88</v>
      </c>
    </row>
    <row r="25" spans="1:19" x14ac:dyDescent="0.25">
      <c r="A25" s="24" t="s">
        <v>61</v>
      </c>
      <c r="B25" s="25"/>
      <c r="C25" s="31">
        <f>C2+C4</f>
        <v>334380.59999999998</v>
      </c>
      <c r="D25" s="31">
        <f>D2+D4</f>
        <v>461160.7</v>
      </c>
      <c r="E25" s="31">
        <f>E2+E4</f>
        <v>240097.18999999997</v>
      </c>
      <c r="F25" s="42"/>
      <c r="G25" s="31">
        <f>G2+G4</f>
        <v>347077.02</v>
      </c>
      <c r="H25" s="31">
        <f>H2+H4</f>
        <v>389093.2</v>
      </c>
      <c r="I25" s="31">
        <f>I2+I4</f>
        <v>445810.87</v>
      </c>
      <c r="J25" s="43"/>
      <c r="K25" s="31">
        <f>K2+K4</f>
        <v>348712.12</v>
      </c>
      <c r="L25" s="31">
        <f>L2+L4</f>
        <v>339104.48</v>
      </c>
      <c r="M25" s="31">
        <f>M2+M4</f>
        <v>329004.24</v>
      </c>
      <c r="N25" s="42"/>
      <c r="O25" s="31">
        <f>O2+O4</f>
        <v>247013.99000000002</v>
      </c>
      <c r="P25" s="31">
        <f>P2+P4</f>
        <v>244581.75</v>
      </c>
      <c r="Q25" s="31">
        <f>Q2+Q4</f>
        <v>307080.73000000004</v>
      </c>
      <c r="R25" s="42"/>
    </row>
    <row r="26" spans="1:19" x14ac:dyDescent="0.25">
      <c r="A26" s="24" t="s">
        <v>62</v>
      </c>
      <c r="B26" s="35">
        <v>6.4999999999999997E-3</v>
      </c>
      <c r="C26" s="31">
        <f>C25*$B$26</f>
        <v>2173.4739</v>
      </c>
      <c r="D26" s="31">
        <f>D25*$B$26</f>
        <v>2997.5445500000001</v>
      </c>
      <c r="E26" s="31">
        <f>E25*$B$26</f>
        <v>1560.6317349999997</v>
      </c>
      <c r="F26" s="42"/>
      <c r="G26" s="31">
        <f>G25*$B$26</f>
        <v>2256.00063</v>
      </c>
      <c r="H26" s="31">
        <f>H25*$B$26</f>
        <v>2529.1057999999998</v>
      </c>
      <c r="I26" s="31">
        <f>I25*$B$26</f>
        <v>2897.7706549999998</v>
      </c>
      <c r="J26" s="43"/>
      <c r="K26" s="31">
        <f>K25*$B$26</f>
        <v>2266.62878</v>
      </c>
      <c r="L26" s="31">
        <f>L25*$B$26</f>
        <v>2204.1791199999998</v>
      </c>
      <c r="M26" s="31">
        <f>M25*$B$26</f>
        <v>2138.52756</v>
      </c>
      <c r="N26" s="42"/>
      <c r="O26" s="31">
        <f>O25*$B$26</f>
        <v>1605.5909349999999</v>
      </c>
      <c r="P26" s="31">
        <f>P25*$B$26</f>
        <v>1589.781375</v>
      </c>
      <c r="Q26" s="31">
        <f>Q25*$B$26</f>
        <v>1996.0247450000002</v>
      </c>
      <c r="R26" s="42"/>
    </row>
    <row r="27" spans="1:19" x14ac:dyDescent="0.25">
      <c r="A27" s="24" t="s">
        <v>63</v>
      </c>
      <c r="B27" s="25"/>
      <c r="C27" s="31"/>
      <c r="D27" s="31"/>
      <c r="E27" s="31"/>
      <c r="F27" s="42"/>
      <c r="G27" s="31"/>
      <c r="H27" s="31"/>
      <c r="I27" s="31"/>
      <c r="J27" s="43"/>
      <c r="K27" s="31"/>
      <c r="L27" s="31"/>
      <c r="M27" s="31"/>
      <c r="N27" s="42"/>
      <c r="O27" s="31"/>
      <c r="P27" s="31"/>
      <c r="Q27" s="31"/>
      <c r="R27" s="42"/>
    </row>
    <row r="28" spans="1:19" s="5" customFormat="1" x14ac:dyDescent="0.25">
      <c r="A28" s="32" t="s">
        <v>64</v>
      </c>
      <c r="B28" s="33"/>
      <c r="C28" s="29">
        <f>C26-C27</f>
        <v>2173.4739</v>
      </c>
      <c r="D28" s="29">
        <f>D26-D27</f>
        <v>2997.5445500000001</v>
      </c>
      <c r="E28" s="29">
        <f>E26-E27</f>
        <v>1560.6317349999997</v>
      </c>
      <c r="F28" s="29"/>
      <c r="G28" s="29">
        <f>G26-G27</f>
        <v>2256.00063</v>
      </c>
      <c r="H28" s="29">
        <f>H26-H27</f>
        <v>2529.1057999999998</v>
      </c>
      <c r="I28" s="29">
        <f>I26-I27</f>
        <v>2897.7706549999998</v>
      </c>
      <c r="J28" s="29"/>
      <c r="K28" s="29">
        <f>K26-K27</f>
        <v>2266.62878</v>
      </c>
      <c r="L28" s="29">
        <f>L26-L27</f>
        <v>2204.1791199999998</v>
      </c>
      <c r="M28" s="29">
        <f>M26-M27</f>
        <v>2138.52756</v>
      </c>
      <c r="N28" s="29"/>
      <c r="O28" s="29">
        <f>O26-O27</f>
        <v>1605.5909349999999</v>
      </c>
      <c r="P28" s="29">
        <f>P26-P27</f>
        <v>1589.781375</v>
      </c>
      <c r="Q28" s="29">
        <f>Q26-Q27</f>
        <v>1996.0247450000002</v>
      </c>
      <c r="R28" s="29"/>
    </row>
    <row r="29" spans="1:19" x14ac:dyDescent="0.25">
      <c r="A29" s="24" t="s">
        <v>65</v>
      </c>
      <c r="B29" s="25"/>
      <c r="C29" s="31">
        <f>C2+C4</f>
        <v>334380.59999999998</v>
      </c>
      <c r="D29" s="31">
        <f>D2+D4</f>
        <v>461160.7</v>
      </c>
      <c r="E29" s="31">
        <f>E2+E4</f>
        <v>240097.18999999997</v>
      </c>
      <c r="F29" s="42"/>
      <c r="G29" s="31">
        <f>G2+G4</f>
        <v>347077.02</v>
      </c>
      <c r="H29" s="31">
        <f>H2+H4</f>
        <v>389093.2</v>
      </c>
      <c r="I29" s="31">
        <f>I2+I4</f>
        <v>445810.87</v>
      </c>
      <c r="J29" s="43"/>
      <c r="K29" s="31">
        <f>K2+K4</f>
        <v>348712.12</v>
      </c>
      <c r="L29" s="31">
        <f>L2+L4</f>
        <v>339104.48</v>
      </c>
      <c r="M29" s="31">
        <f>M2+M4</f>
        <v>329004.24</v>
      </c>
      <c r="N29" s="42"/>
      <c r="O29" s="31">
        <f>O2+O4</f>
        <v>247013.99000000002</v>
      </c>
      <c r="P29" s="31">
        <f>P2+P4</f>
        <v>244581.75</v>
      </c>
      <c r="Q29" s="31">
        <f>Q2+Q4</f>
        <v>307080.73000000004</v>
      </c>
      <c r="R29" s="42"/>
    </row>
    <row r="30" spans="1:19" x14ac:dyDescent="0.25">
      <c r="A30" s="24" t="s">
        <v>66</v>
      </c>
      <c r="B30" s="35">
        <v>0.03</v>
      </c>
      <c r="C30" s="31">
        <f>C29*$B$30</f>
        <v>10031.418</v>
      </c>
      <c r="D30" s="31">
        <f>D29*$B$30</f>
        <v>13834.821</v>
      </c>
      <c r="E30" s="31">
        <f>E29*$B$30</f>
        <v>7202.9156999999987</v>
      </c>
      <c r="F30" s="42"/>
      <c r="G30" s="31">
        <f>G29*$B$30</f>
        <v>10412.310600000001</v>
      </c>
      <c r="H30" s="31">
        <f>H29*$B$30</f>
        <v>11672.796</v>
      </c>
      <c r="I30" s="31">
        <f>I29*$B$30</f>
        <v>13374.3261</v>
      </c>
      <c r="J30" s="43"/>
      <c r="K30" s="31">
        <f>K29*$B$30</f>
        <v>10461.363599999999</v>
      </c>
      <c r="L30" s="31">
        <f>L29*$B$30</f>
        <v>10173.134399999999</v>
      </c>
      <c r="M30" s="31">
        <f>M29*$B$30</f>
        <v>9870.127199999999</v>
      </c>
      <c r="N30" s="42"/>
      <c r="O30" s="31">
        <f>O29*$B$30</f>
        <v>7410.4197000000004</v>
      </c>
      <c r="P30" s="31">
        <f>P29*$B$30</f>
        <v>7337.4524999999994</v>
      </c>
      <c r="Q30" s="31">
        <f>Q29*$B$30</f>
        <v>9212.4219000000012</v>
      </c>
      <c r="R30" s="42"/>
    </row>
    <row r="31" spans="1:19" x14ac:dyDescent="0.25">
      <c r="A31" s="24" t="s">
        <v>67</v>
      </c>
      <c r="B31" s="25"/>
      <c r="C31" s="31"/>
      <c r="D31" s="31"/>
      <c r="E31" s="31"/>
      <c r="F31" s="42"/>
      <c r="G31" s="31"/>
      <c r="H31" s="31"/>
      <c r="I31" s="31"/>
      <c r="J31" s="43"/>
      <c r="K31" s="31"/>
      <c r="L31" s="31"/>
      <c r="M31" s="31"/>
      <c r="N31" s="42"/>
      <c r="O31" s="31"/>
      <c r="P31" s="31"/>
      <c r="Q31" s="31"/>
      <c r="R31" s="42"/>
    </row>
    <row r="32" spans="1:19" s="5" customFormat="1" x14ac:dyDescent="0.25">
      <c r="A32" s="32" t="s">
        <v>68</v>
      </c>
      <c r="B32" s="33"/>
      <c r="C32" s="29">
        <f>C30-C31</f>
        <v>10031.418</v>
      </c>
      <c r="D32" s="29">
        <f>D30-D31</f>
        <v>13834.821</v>
      </c>
      <c r="E32" s="29">
        <f>E30-E31</f>
        <v>7202.9156999999987</v>
      </c>
      <c r="F32" s="29"/>
      <c r="G32" s="29">
        <f>G30-G31</f>
        <v>10412.310600000001</v>
      </c>
      <c r="H32" s="29">
        <f>H30-H31</f>
        <v>11672.796</v>
      </c>
      <c r="I32" s="29">
        <f>I30-I31</f>
        <v>13374.3261</v>
      </c>
      <c r="J32" s="29"/>
      <c r="K32" s="29">
        <f>K30-K31</f>
        <v>10461.363599999999</v>
      </c>
      <c r="L32" s="29">
        <f>L30-L31</f>
        <v>10173.134399999999</v>
      </c>
      <c r="M32" s="29">
        <f>M30-M31</f>
        <v>9870.127199999999</v>
      </c>
      <c r="N32" s="29"/>
      <c r="O32" s="29">
        <f>O30-O31</f>
        <v>7410.4197000000004</v>
      </c>
      <c r="P32" s="29">
        <f>P30-P31</f>
        <v>7337.4524999999994</v>
      </c>
      <c r="Q32" s="29">
        <f>Q30-Q31</f>
        <v>9212.4219000000012</v>
      </c>
      <c r="R32" s="29"/>
    </row>
  </sheetData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5C68-2E44-4011-9C76-1225E97CA3FB}">
  <dimension ref="A1:AB46"/>
  <sheetViews>
    <sheetView tabSelected="1" zoomScaleNormal="100" workbookViewId="0">
      <selection activeCell="AB7" sqref="AB7"/>
    </sheetView>
  </sheetViews>
  <sheetFormatPr defaultRowHeight="15" outlineLevelCol="1" x14ac:dyDescent="0.25"/>
  <cols>
    <col min="1" max="1" width="32.85546875" bestFit="1" customWidth="1"/>
    <col min="2" max="2" width="6.140625" style="19" customWidth="1"/>
    <col min="3" max="4" width="14.28515625" customWidth="1" outlineLevel="1"/>
    <col min="5" max="5" width="15.85546875" bestFit="1" customWidth="1" outlineLevel="1"/>
    <col min="6" max="6" width="15.85546875" style="5" customWidth="1"/>
    <col min="7" max="7" width="15.85546875" style="5" hidden="1" customWidth="1"/>
    <col min="8" max="8" width="17.7109375" style="5" bestFit="1" customWidth="1"/>
    <col min="9" max="11" width="14.28515625" hidden="1" customWidth="1" outlineLevel="1"/>
    <col min="12" max="12" width="15.85546875" style="30" customWidth="1" collapsed="1"/>
    <col min="13" max="13" width="15.85546875" hidden="1" customWidth="1" outlineLevel="1"/>
    <col min="14" max="14" width="15.85546875" style="20" hidden="1" customWidth="1" outlineLevel="1"/>
    <col min="15" max="15" width="15.85546875" hidden="1" customWidth="1" outlineLevel="1"/>
    <col min="16" max="16" width="16.85546875" style="5" customWidth="1" collapsed="1"/>
    <col min="17" max="17" width="16" hidden="1" customWidth="1" outlineLevel="1"/>
    <col min="18" max="18" width="15.7109375" hidden="1" customWidth="1" outlineLevel="1"/>
    <col min="19" max="19" width="20.42578125" hidden="1" customWidth="1" outlineLevel="1"/>
    <col min="20" max="20" width="15.85546875" style="5" customWidth="1" collapsed="1"/>
    <col min="21" max="21" width="7.42578125" customWidth="1"/>
    <col min="22" max="22" width="15.28515625" hidden="1" customWidth="1"/>
    <col min="23" max="23" width="8.7109375" hidden="1" customWidth="1"/>
    <col min="24" max="24" width="29.28515625" customWidth="1"/>
    <col min="25" max="25" width="15.85546875" bestFit="1" customWidth="1"/>
    <col min="26" max="26" width="12.28515625" customWidth="1"/>
    <col min="27" max="27" width="15.85546875" customWidth="1"/>
    <col min="28" max="28" width="18.5703125" bestFit="1" customWidth="1"/>
    <col min="29" max="1028" width="8.7109375" customWidth="1"/>
  </cols>
  <sheetData>
    <row r="1" spans="1:28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69</v>
      </c>
      <c r="G1" s="23" t="s">
        <v>93</v>
      </c>
      <c r="H1" s="23" t="s">
        <v>94</v>
      </c>
      <c r="I1" s="23" t="s">
        <v>38</v>
      </c>
      <c r="J1" s="23" t="s">
        <v>39</v>
      </c>
      <c r="K1" s="23" t="s">
        <v>40</v>
      </c>
      <c r="L1" s="36" t="s">
        <v>70</v>
      </c>
      <c r="M1" s="23" t="s">
        <v>41</v>
      </c>
      <c r="N1" s="23" t="s">
        <v>42</v>
      </c>
      <c r="O1" s="23" t="s">
        <v>43</v>
      </c>
      <c r="P1" s="23" t="s">
        <v>71</v>
      </c>
      <c r="Q1" s="23" t="s">
        <v>44</v>
      </c>
      <c r="R1" s="23" t="s">
        <v>45</v>
      </c>
      <c r="S1" s="23" t="s">
        <v>46</v>
      </c>
      <c r="T1" s="23" t="s">
        <v>72</v>
      </c>
      <c r="X1" s="47" t="s">
        <v>86</v>
      </c>
      <c r="Y1" s="48" t="s">
        <v>100</v>
      </c>
      <c r="Z1" s="48" t="s">
        <v>88</v>
      </c>
      <c r="AA1" s="48" t="s">
        <v>89</v>
      </c>
      <c r="AB1" s="53" t="s">
        <v>90</v>
      </c>
    </row>
    <row r="2" spans="1:28" x14ac:dyDescent="0.25">
      <c r="A2" s="24" t="s">
        <v>81</v>
      </c>
      <c r="B2" s="25"/>
      <c r="C2" s="26">
        <v>452786.14</v>
      </c>
      <c r="D2" s="26">
        <v>845962.7</v>
      </c>
      <c r="E2" s="26">
        <v>1084051.6599999999</v>
      </c>
      <c r="F2" s="37">
        <f>SUM(C2:E2)</f>
        <v>2382800.5</v>
      </c>
      <c r="G2" s="37" t="e">
        <f>#REF!</f>
        <v>#REF!</v>
      </c>
      <c r="H2" s="37">
        <f>AA4</f>
        <v>728051.29597692774</v>
      </c>
      <c r="I2" s="26">
        <v>0</v>
      </c>
      <c r="J2" s="26">
        <v>0</v>
      </c>
      <c r="K2" s="26">
        <v>0</v>
      </c>
      <c r="L2" s="37">
        <f>SUM(I2:K2)</f>
        <v>0</v>
      </c>
      <c r="M2" s="37">
        <v>0</v>
      </c>
      <c r="N2" s="37">
        <v>0</v>
      </c>
      <c r="O2" s="37">
        <v>0</v>
      </c>
      <c r="P2" s="37">
        <f>SUM(M2:O2)</f>
        <v>0</v>
      </c>
      <c r="Q2" s="26">
        <v>0</v>
      </c>
      <c r="R2" s="26">
        <v>0</v>
      </c>
      <c r="S2" s="26">
        <v>0</v>
      </c>
      <c r="T2" s="37">
        <f>SUM(Q2:S2)</f>
        <v>0</v>
      </c>
      <c r="X2" s="61" t="s">
        <v>102</v>
      </c>
      <c r="Y2" s="58">
        <f>SUM(Y4,Y7)</f>
        <v>2089126.4400000002</v>
      </c>
      <c r="Z2" s="78">
        <f>Y4/Y2</f>
        <v>0.86763002721845783</v>
      </c>
      <c r="AA2" s="59">
        <v>1250000</v>
      </c>
      <c r="AB2" s="62"/>
    </row>
    <row r="3" spans="1:28" x14ac:dyDescent="0.25">
      <c r="A3" s="24" t="s">
        <v>83</v>
      </c>
      <c r="B3" s="25"/>
      <c r="C3" s="26">
        <v>0</v>
      </c>
      <c r="D3" s="26">
        <v>0</v>
      </c>
      <c r="E3" s="26">
        <v>0</v>
      </c>
      <c r="F3" s="37">
        <f>SUM(C3:E3)</f>
        <v>0</v>
      </c>
      <c r="G3" s="37">
        <f>SUM(C3,D3,E3)*Z2</f>
        <v>0</v>
      </c>
      <c r="H3" s="37">
        <v>0</v>
      </c>
      <c r="I3" s="26">
        <v>0</v>
      </c>
      <c r="J3" s="26">
        <v>0</v>
      </c>
      <c r="K3" s="26">
        <v>0</v>
      </c>
      <c r="L3" s="37">
        <f>SUM(I3:K3)</f>
        <v>0</v>
      </c>
      <c r="M3" s="37">
        <v>0</v>
      </c>
      <c r="N3" s="37">
        <v>0</v>
      </c>
      <c r="O3" s="37">
        <v>0</v>
      </c>
      <c r="P3" s="37">
        <f>SUM(M3:O3)</f>
        <v>0</v>
      </c>
      <c r="Q3" s="26">
        <v>0</v>
      </c>
      <c r="R3" s="26">
        <v>0</v>
      </c>
      <c r="S3" s="26">
        <v>0</v>
      </c>
      <c r="T3" s="37">
        <f>SUM(Q3:S3)</f>
        <v>0</v>
      </c>
      <c r="X3" s="61" t="s">
        <v>101</v>
      </c>
      <c r="Y3" s="58">
        <f>F2</f>
        <v>2382800.5</v>
      </c>
      <c r="Z3" s="79"/>
      <c r="AA3" s="59">
        <f>Y2-AA2</f>
        <v>839126.44000000018</v>
      </c>
      <c r="AB3" s="84">
        <v>8.7999999999999995E-2</v>
      </c>
    </row>
    <row r="4" spans="1:28" x14ac:dyDescent="0.25">
      <c r="A4" s="24" t="s">
        <v>4</v>
      </c>
      <c r="B4" s="25"/>
      <c r="C4" s="26">
        <v>34559.440000000002</v>
      </c>
      <c r="D4" s="26">
        <v>58611.9</v>
      </c>
      <c r="E4" s="26">
        <v>89698.42</v>
      </c>
      <c r="F4" s="37">
        <f t="shared" ref="F4:F6" si="0">SUM(C4:E4)</f>
        <v>182869.76000000001</v>
      </c>
      <c r="G4" s="37">
        <f>SUM(C4,D4,E4)*Z2</f>
        <v>158663.29484623286</v>
      </c>
      <c r="H4" s="37">
        <v>0</v>
      </c>
      <c r="I4" s="26">
        <v>0</v>
      </c>
      <c r="J4" s="26">
        <v>0</v>
      </c>
      <c r="K4" s="26">
        <v>0</v>
      </c>
      <c r="L4" s="37">
        <f t="shared" ref="L4:L6" si="1">SUM(I4:K4)</f>
        <v>0</v>
      </c>
      <c r="M4" s="37">
        <v>0</v>
      </c>
      <c r="N4" s="37">
        <v>0</v>
      </c>
      <c r="O4" s="37">
        <v>0</v>
      </c>
      <c r="P4" s="37">
        <f t="shared" ref="P4:P6" si="2">SUM(M4:O4)</f>
        <v>0</v>
      </c>
      <c r="Q4" s="26">
        <v>0</v>
      </c>
      <c r="R4" s="26">
        <v>0</v>
      </c>
      <c r="S4" s="26">
        <v>0</v>
      </c>
      <c r="T4" s="37">
        <f t="shared" ref="T4:T6" si="3">SUM(Q4:S4)</f>
        <v>0</v>
      </c>
      <c r="V4" s="45"/>
      <c r="X4" s="61" t="s">
        <v>98</v>
      </c>
      <c r="Y4" s="59">
        <f>F2-F4-F5</f>
        <v>1812588.83</v>
      </c>
      <c r="Z4" s="8"/>
      <c r="AA4" s="60">
        <f>AA3*Z2</f>
        <v>728051.29597692774</v>
      </c>
      <c r="AB4" s="64">
        <f>AA4*8.8%</f>
        <v>64068.514045969649</v>
      </c>
    </row>
    <row r="5" spans="1:28" x14ac:dyDescent="0.25">
      <c r="A5" s="24" t="s">
        <v>82</v>
      </c>
      <c r="B5" s="25"/>
      <c r="C5" s="26">
        <v>74261.87</v>
      </c>
      <c r="D5" s="26">
        <v>137738.53</v>
      </c>
      <c r="E5" s="26">
        <v>175341.51</v>
      </c>
      <c r="F5" s="37">
        <f t="shared" si="0"/>
        <v>387341.91000000003</v>
      </c>
      <c r="G5" s="37">
        <f>SUM(C5,D5,E5)*Z2</f>
        <v>336069.47191614949</v>
      </c>
      <c r="H5" s="37">
        <v>0</v>
      </c>
      <c r="I5" s="26">
        <v>0</v>
      </c>
      <c r="J5" s="26">
        <v>0</v>
      </c>
      <c r="K5" s="26">
        <v>0</v>
      </c>
      <c r="L5" s="37">
        <f t="shared" si="1"/>
        <v>0</v>
      </c>
      <c r="M5" s="37">
        <v>0</v>
      </c>
      <c r="N5" s="37">
        <v>0</v>
      </c>
      <c r="O5" s="37">
        <v>0</v>
      </c>
      <c r="P5" s="37">
        <f t="shared" si="2"/>
        <v>0</v>
      </c>
      <c r="Q5" s="26">
        <v>0</v>
      </c>
      <c r="R5" s="26">
        <v>0</v>
      </c>
      <c r="S5" s="26">
        <v>0</v>
      </c>
      <c r="T5" s="37">
        <f t="shared" si="3"/>
        <v>0</v>
      </c>
      <c r="V5" s="45"/>
      <c r="X5" s="49"/>
      <c r="Y5" s="80"/>
      <c r="Z5" s="81"/>
      <c r="AA5" s="82"/>
      <c r="AB5" s="83"/>
    </row>
    <row r="6" spans="1:28" x14ac:dyDescent="0.25">
      <c r="A6" s="24" t="s">
        <v>84</v>
      </c>
      <c r="B6" s="25"/>
      <c r="C6" s="26">
        <v>0</v>
      </c>
      <c r="D6" s="26">
        <v>0</v>
      </c>
      <c r="E6" s="26">
        <v>0</v>
      </c>
      <c r="F6" s="37">
        <f t="shared" si="0"/>
        <v>0</v>
      </c>
      <c r="G6" s="37">
        <f>SUM(C6,D6,E6)*Z2</f>
        <v>0</v>
      </c>
      <c r="H6" s="37">
        <v>0</v>
      </c>
      <c r="I6" s="26">
        <v>0</v>
      </c>
      <c r="J6" s="26">
        <v>0</v>
      </c>
      <c r="K6" s="26">
        <v>0</v>
      </c>
      <c r="L6" s="37">
        <f t="shared" si="1"/>
        <v>0</v>
      </c>
      <c r="M6" s="37">
        <v>0</v>
      </c>
      <c r="N6" s="37">
        <v>0</v>
      </c>
      <c r="O6" s="37">
        <v>0</v>
      </c>
      <c r="P6" s="37">
        <f t="shared" si="2"/>
        <v>0</v>
      </c>
      <c r="Q6" s="26">
        <v>0</v>
      </c>
      <c r="R6" s="26">
        <v>0</v>
      </c>
      <c r="S6" s="26">
        <v>0</v>
      </c>
      <c r="T6" s="37">
        <f t="shared" si="3"/>
        <v>0</v>
      </c>
      <c r="X6" s="61" t="s">
        <v>92</v>
      </c>
      <c r="Y6" s="58">
        <f>F8</f>
        <v>282396.21000000002</v>
      </c>
      <c r="Z6" s="78">
        <f>Y7/Y2</f>
        <v>0.13236997278154214</v>
      </c>
      <c r="AA6" s="60">
        <f>Y2-AA2</f>
        <v>839126.44000000018</v>
      </c>
      <c r="AB6" s="84">
        <v>0.35199999999999998</v>
      </c>
    </row>
    <row r="7" spans="1:28" x14ac:dyDescent="0.25">
      <c r="A7" s="24" t="s">
        <v>75</v>
      </c>
      <c r="B7" s="25">
        <v>0.08</v>
      </c>
      <c r="C7" s="26">
        <f>(C2-C3-C4-C5+C6)*$B$7</f>
        <v>27517.186400000002</v>
      </c>
      <c r="D7" s="26">
        <f>(D2-D3-D4-D5+D6)*$B$7</f>
        <v>51968.981599999992</v>
      </c>
      <c r="E7" s="26">
        <f>(E2-E3-E4-E5+E6)*$B$7</f>
        <v>65520.938399999992</v>
      </c>
      <c r="F7" s="37">
        <f>(F2-F3-F4-F5+F6)*$B$7</f>
        <v>145007.10640000002</v>
      </c>
      <c r="G7" s="37" t="e">
        <f>(G2-G3-G4-G5+G6)*$B$7</f>
        <v>#REF!</v>
      </c>
      <c r="H7" s="37">
        <f>AA4*8.8/100</f>
        <v>64068.514045969649</v>
      </c>
      <c r="I7" s="26">
        <f t="shared" ref="I7:K7" si="4">(I2-I3-I4-I5+I6)*$B$7</f>
        <v>0</v>
      </c>
      <c r="J7" s="26">
        <f t="shared" si="4"/>
        <v>0</v>
      </c>
      <c r="K7" s="26">
        <f t="shared" si="4"/>
        <v>0</v>
      </c>
      <c r="L7" s="37">
        <f>(L2-L3-L4-L5+L6)*$B$7</f>
        <v>0</v>
      </c>
      <c r="M7" s="26">
        <f>(M2-M3-M4-M5+M6)*$B$7</f>
        <v>0</v>
      </c>
      <c r="N7" s="26">
        <f t="shared" ref="N7:O7" si="5">(N2-N3-N4-N5+N6)*$B$7</f>
        <v>0</v>
      </c>
      <c r="O7" s="26">
        <f t="shared" si="5"/>
        <v>0</v>
      </c>
      <c r="P7" s="37">
        <f>(P2-P3-P4-P5+P6)*$B$7</f>
        <v>0</v>
      </c>
      <c r="Q7" s="26">
        <f t="shared" ref="Q7:S7" si="6">(Q2-Q3-Q4-Q5+Q6)*$B$7</f>
        <v>0</v>
      </c>
      <c r="R7" s="26">
        <f t="shared" si="6"/>
        <v>0</v>
      </c>
      <c r="S7" s="26">
        <f t="shared" si="6"/>
        <v>0</v>
      </c>
      <c r="T7" s="37">
        <f>(T2-T3-T4-T5+T6)*$B$7</f>
        <v>0</v>
      </c>
      <c r="X7" s="61" t="s">
        <v>99</v>
      </c>
      <c r="Y7" s="59">
        <f>F8-F9</f>
        <v>276537.61000000004</v>
      </c>
      <c r="Z7" s="79"/>
      <c r="AA7" s="59">
        <f>AA6*Z6</f>
        <v>111075.14402307238</v>
      </c>
      <c r="AB7" s="64">
        <f>AA7*35.2%</f>
        <v>39098.450696121479</v>
      </c>
    </row>
    <row r="8" spans="1:28" x14ac:dyDescent="0.25">
      <c r="A8" s="24" t="s">
        <v>51</v>
      </c>
      <c r="B8" s="25"/>
      <c r="C8" s="26">
        <v>81994.67</v>
      </c>
      <c r="D8" s="26">
        <v>79632.66</v>
      </c>
      <c r="E8" s="26">
        <v>120768.88</v>
      </c>
      <c r="F8" s="37">
        <f>SUM(C8:E8)</f>
        <v>282396.21000000002</v>
      </c>
      <c r="G8" s="37">
        <v>138343.92000000001</v>
      </c>
      <c r="H8" s="37">
        <f>AA7</f>
        <v>111075.14402307238</v>
      </c>
      <c r="I8" s="26">
        <v>0</v>
      </c>
      <c r="J8" s="26">
        <v>0</v>
      </c>
      <c r="K8" s="26">
        <v>0</v>
      </c>
      <c r="L8" s="37">
        <f>SUM(I8:K8)</f>
        <v>0</v>
      </c>
      <c r="M8" s="37">
        <v>0</v>
      </c>
      <c r="N8" s="37">
        <v>0</v>
      </c>
      <c r="O8" s="37">
        <v>0</v>
      </c>
      <c r="P8" s="37">
        <f>SUM(M8:O8)</f>
        <v>0</v>
      </c>
      <c r="Q8" s="26">
        <v>0</v>
      </c>
      <c r="R8" s="26">
        <v>0</v>
      </c>
      <c r="S8" s="26">
        <v>0</v>
      </c>
      <c r="T8" s="37">
        <f>SUM(Q8:S8)</f>
        <v>0</v>
      </c>
      <c r="V8" s="45"/>
      <c r="X8" s="61"/>
      <c r="Y8" s="18"/>
      <c r="Z8" s="8"/>
      <c r="AA8" s="59"/>
      <c r="AB8" s="62"/>
    </row>
    <row r="9" spans="1:28" x14ac:dyDescent="0.25">
      <c r="A9" s="24" t="s">
        <v>85</v>
      </c>
      <c r="B9" s="25"/>
      <c r="C9" s="26">
        <v>1770.93</v>
      </c>
      <c r="D9" s="26">
        <v>1652.83</v>
      </c>
      <c r="E9" s="26">
        <v>2434.84</v>
      </c>
      <c r="F9" s="37">
        <f>SUM(C9:E9)</f>
        <v>5858.6</v>
      </c>
      <c r="G9" s="37">
        <f>SUM(C9,D9,E9)*Z21</f>
        <v>0</v>
      </c>
      <c r="H9" s="37">
        <v>0</v>
      </c>
      <c r="I9" s="26">
        <v>0</v>
      </c>
      <c r="J9" s="26">
        <v>0</v>
      </c>
      <c r="K9" s="26">
        <v>0</v>
      </c>
      <c r="L9" s="37">
        <f>SUM(I9:K9)</f>
        <v>0</v>
      </c>
      <c r="M9" s="37">
        <v>0</v>
      </c>
      <c r="N9" s="37">
        <v>0</v>
      </c>
      <c r="O9" s="37">
        <v>0</v>
      </c>
      <c r="P9" s="37">
        <f>SUM(M9:O9)</f>
        <v>0</v>
      </c>
      <c r="Q9" s="26">
        <v>0</v>
      </c>
      <c r="R9" s="26">
        <v>0</v>
      </c>
      <c r="S9" s="26">
        <v>0</v>
      </c>
      <c r="T9" s="37">
        <f>SUM(Q9:S9)</f>
        <v>0</v>
      </c>
      <c r="V9" s="45"/>
      <c r="X9" s="51"/>
      <c r="Y9" s="55"/>
      <c r="Z9" s="56"/>
      <c r="AA9" s="57"/>
      <c r="AB9" s="52"/>
    </row>
    <row r="10" spans="1:28" x14ac:dyDescent="0.25">
      <c r="A10" s="24" t="s">
        <v>75</v>
      </c>
      <c r="B10" s="25">
        <v>0.32</v>
      </c>
      <c r="C10" s="26">
        <f>(C8-C9)*$B$10</f>
        <v>25671.596800000003</v>
      </c>
      <c r="D10" s="26">
        <f>(D8-D9)*$B$10</f>
        <v>24953.545600000001</v>
      </c>
      <c r="E10" s="26">
        <f>(E8-E9)*$B$10</f>
        <v>37866.892800000001</v>
      </c>
      <c r="F10" s="37">
        <f>(F8-F9)*$B$10</f>
        <v>88492.035200000013</v>
      </c>
      <c r="G10" s="37">
        <f>(G8-G9)*$B$10</f>
        <v>44270.054400000008</v>
      </c>
      <c r="H10" s="37">
        <f>AA7*35.2/100</f>
        <v>39098.450696121479</v>
      </c>
      <c r="I10" s="26">
        <f t="shared" ref="I10:K10" si="7">(I8-I9)*$B$10</f>
        <v>0</v>
      </c>
      <c r="J10" s="26">
        <f t="shared" si="7"/>
        <v>0</v>
      </c>
      <c r="K10" s="26">
        <f t="shared" si="7"/>
        <v>0</v>
      </c>
      <c r="L10" s="37">
        <f>(L8-L9)*$B$10</f>
        <v>0</v>
      </c>
      <c r="M10" s="37">
        <f>(M8-M9)*$B$10</f>
        <v>0</v>
      </c>
      <c r="N10" s="37">
        <f t="shared" ref="N10:O10" si="8">(N8-N9)*$B$10</f>
        <v>0</v>
      </c>
      <c r="O10" s="37">
        <f t="shared" si="8"/>
        <v>0</v>
      </c>
      <c r="P10" s="37">
        <f>(P8-P9)*$B$10</f>
        <v>0</v>
      </c>
      <c r="Q10" s="26">
        <f t="shared" ref="Q10:S10" si="9">(Q8-Q9)*$B$10</f>
        <v>0</v>
      </c>
      <c r="R10" s="26">
        <f t="shared" si="9"/>
        <v>0</v>
      </c>
      <c r="S10" s="26">
        <f t="shared" si="9"/>
        <v>0</v>
      </c>
      <c r="T10" s="37">
        <f>(T8-T9)*$B$10</f>
        <v>0</v>
      </c>
    </row>
    <row r="11" spans="1:28" x14ac:dyDescent="0.25">
      <c r="A11" s="24" t="s">
        <v>52</v>
      </c>
      <c r="B11" s="25"/>
      <c r="C11" s="26">
        <f t="shared" ref="C11:S11" si="10">C7+C10</f>
        <v>53188.783200000005</v>
      </c>
      <c r="D11" s="26">
        <f t="shared" si="10"/>
        <v>76922.527199999997</v>
      </c>
      <c r="E11" s="26">
        <f t="shared" si="10"/>
        <v>103387.83119999999</v>
      </c>
      <c r="F11" s="37">
        <f t="shared" si="10"/>
        <v>233499.14160000003</v>
      </c>
      <c r="G11" s="74" t="e">
        <f t="shared" si="10"/>
        <v>#REF!</v>
      </c>
      <c r="H11" s="74">
        <f t="shared" si="10"/>
        <v>103166.96474209114</v>
      </c>
      <c r="I11" s="26">
        <f t="shared" si="10"/>
        <v>0</v>
      </c>
      <c r="J11" s="26">
        <f t="shared" si="10"/>
        <v>0</v>
      </c>
      <c r="K11" s="26">
        <f t="shared" si="10"/>
        <v>0</v>
      </c>
      <c r="L11" s="37">
        <f>L7+L10</f>
        <v>0</v>
      </c>
      <c r="M11" s="37">
        <f t="shared" si="10"/>
        <v>0</v>
      </c>
      <c r="N11" s="37">
        <f t="shared" si="10"/>
        <v>0</v>
      </c>
      <c r="O11" s="37">
        <f t="shared" si="10"/>
        <v>0</v>
      </c>
      <c r="P11" s="37">
        <f>P7+P10</f>
        <v>0</v>
      </c>
      <c r="Q11" s="26">
        <f t="shared" si="10"/>
        <v>0</v>
      </c>
      <c r="R11" s="26">
        <f t="shared" si="10"/>
        <v>0</v>
      </c>
      <c r="S11" s="26">
        <f t="shared" si="10"/>
        <v>0</v>
      </c>
      <c r="T11" s="37">
        <f>T7+T10</f>
        <v>0</v>
      </c>
    </row>
    <row r="12" spans="1:28" x14ac:dyDescent="0.25">
      <c r="A12" s="24" t="s">
        <v>76</v>
      </c>
      <c r="B12" s="25"/>
      <c r="C12" s="26">
        <v>842361.53</v>
      </c>
      <c r="D12" s="26">
        <v>103307.87</v>
      </c>
      <c r="E12" s="26">
        <v>60261.25</v>
      </c>
      <c r="F12" s="37">
        <f>SUM(C12:E12)</f>
        <v>1005930.65</v>
      </c>
      <c r="G12" s="74">
        <f>SUM(C12,D12,E12)*Z2</f>
        <v>872775.63723938097</v>
      </c>
      <c r="H12" s="74">
        <v>0</v>
      </c>
      <c r="I12" s="26">
        <v>0</v>
      </c>
      <c r="J12" s="26">
        <v>0</v>
      </c>
      <c r="K12" s="26">
        <v>0</v>
      </c>
      <c r="L12" s="46">
        <f>SUM(I12:K12)</f>
        <v>0</v>
      </c>
      <c r="M12" s="26">
        <v>0</v>
      </c>
      <c r="N12" s="26">
        <v>0</v>
      </c>
      <c r="O12" s="26">
        <v>0</v>
      </c>
      <c r="P12" s="43">
        <f>SUM(M12:O12)</f>
        <v>0</v>
      </c>
      <c r="Q12" s="26">
        <v>0</v>
      </c>
      <c r="R12" s="26">
        <v>0</v>
      </c>
      <c r="S12" s="26">
        <v>0</v>
      </c>
      <c r="T12" s="43">
        <f>SUM(Q12:S12)</f>
        <v>0</v>
      </c>
    </row>
    <row r="13" spans="1:28" x14ac:dyDescent="0.25">
      <c r="A13" s="24" t="s">
        <v>77</v>
      </c>
      <c r="B13" s="25"/>
      <c r="C13" s="26">
        <f>C11+C12</f>
        <v>895550.31319999998</v>
      </c>
      <c r="D13" s="26">
        <f>D11+D12</f>
        <v>180230.39720000001</v>
      </c>
      <c r="E13" s="26">
        <f>E11+E12</f>
        <v>163649.08119999999</v>
      </c>
      <c r="F13" s="37">
        <f>SUM(F11:F12)</f>
        <v>1239429.7916000001</v>
      </c>
      <c r="G13" s="37" t="e">
        <f>SUM(G11:G12)</f>
        <v>#REF!</v>
      </c>
      <c r="H13" s="37">
        <f>SUM(H11:H12)</f>
        <v>103166.96474209114</v>
      </c>
      <c r="I13" s="26">
        <f t="shared" ref="I13:K13" si="11">I11+I12</f>
        <v>0</v>
      </c>
      <c r="J13" s="26">
        <f t="shared" si="11"/>
        <v>0</v>
      </c>
      <c r="K13" s="26">
        <f t="shared" si="11"/>
        <v>0</v>
      </c>
      <c r="L13" s="37">
        <f>SUM(L11:L12)</f>
        <v>0</v>
      </c>
      <c r="M13" s="37">
        <f t="shared" ref="M13:O13" si="12">M11+M12</f>
        <v>0</v>
      </c>
      <c r="N13" s="37">
        <f t="shared" si="12"/>
        <v>0</v>
      </c>
      <c r="O13" s="37">
        <f t="shared" si="12"/>
        <v>0</v>
      </c>
      <c r="P13" s="37">
        <f>SUM(P11:P12)</f>
        <v>0</v>
      </c>
      <c r="Q13" s="26">
        <f t="shared" ref="Q13:S13" si="13">Q11+Q12</f>
        <v>0</v>
      </c>
      <c r="R13" s="26">
        <f t="shared" si="13"/>
        <v>0</v>
      </c>
      <c r="S13" s="26">
        <f t="shared" si="13"/>
        <v>0</v>
      </c>
      <c r="T13" s="37">
        <f>SUM(T11:T12)</f>
        <v>0</v>
      </c>
    </row>
    <row r="14" spans="1:28" x14ac:dyDescent="0.25">
      <c r="A14" s="24" t="s">
        <v>19</v>
      </c>
      <c r="B14" s="25">
        <v>0.15</v>
      </c>
      <c r="C14" s="26">
        <f t="shared" ref="C14:S14" si="14">C13*$B$14</f>
        <v>134332.54697999998</v>
      </c>
      <c r="D14" s="26">
        <f t="shared" si="14"/>
        <v>27034.559580000001</v>
      </c>
      <c r="E14" s="26">
        <f t="shared" si="14"/>
        <v>24547.362179999996</v>
      </c>
      <c r="F14" s="37">
        <f t="shared" si="14"/>
        <v>185914.46874000001</v>
      </c>
      <c r="G14" s="37" t="e">
        <f t="shared" si="14"/>
        <v>#REF!</v>
      </c>
      <c r="H14" s="37">
        <f>H13*$B$14</f>
        <v>15475.044711313669</v>
      </c>
      <c r="I14" s="26">
        <f t="shared" si="14"/>
        <v>0</v>
      </c>
      <c r="J14" s="26">
        <f t="shared" si="14"/>
        <v>0</v>
      </c>
      <c r="K14" s="26">
        <f t="shared" si="14"/>
        <v>0</v>
      </c>
      <c r="L14" s="37">
        <f>L13*$B$14</f>
        <v>0</v>
      </c>
      <c r="M14" s="37">
        <f t="shared" si="14"/>
        <v>0</v>
      </c>
      <c r="N14" s="37">
        <f t="shared" si="14"/>
        <v>0</v>
      </c>
      <c r="O14" s="37">
        <f t="shared" si="14"/>
        <v>0</v>
      </c>
      <c r="P14" s="37">
        <f>P13*$B$14</f>
        <v>0</v>
      </c>
      <c r="Q14" s="26">
        <f t="shared" si="14"/>
        <v>0</v>
      </c>
      <c r="R14" s="26">
        <f t="shared" si="14"/>
        <v>0</v>
      </c>
      <c r="S14" s="26">
        <f t="shared" si="14"/>
        <v>0</v>
      </c>
      <c r="T14" s="37">
        <f>T13*$B$14</f>
        <v>0</v>
      </c>
    </row>
    <row r="15" spans="1:28" x14ac:dyDescent="0.25">
      <c r="A15" s="24" t="s">
        <v>55</v>
      </c>
      <c r="B15" s="25"/>
      <c r="C15" s="26">
        <f>IF(C13&gt;20000,(C13-20000)*0.1," ")</f>
        <v>87555.031320000009</v>
      </c>
      <c r="D15" s="26">
        <f>IF(D13&gt;20000,(D13-20000)*0.1," ")</f>
        <v>16023.039720000001</v>
      </c>
      <c r="E15" s="26">
        <f>IF(E13&gt;20000,(E13-20000)*0.1," ")</f>
        <v>14364.90812</v>
      </c>
      <c r="F15" s="37">
        <f>IF(F13&gt;60000,(F13-60000)*0.1," ")</f>
        <v>117942.97916000002</v>
      </c>
      <c r="G15" s="37" t="e">
        <f>IF(G13&gt;60000,(G13-60000)*0.1," ")</f>
        <v>#REF!</v>
      </c>
      <c r="H15" s="37">
        <f>IF(H13&gt;60000,(H13-60000)*0.1," ")</f>
        <v>4316.6964742091141</v>
      </c>
      <c r="I15" s="26" t="str">
        <f t="shared" ref="I15:K15" si="15">IF(I13&gt;20000,(I13-20000)*0.1," ")</f>
        <v xml:space="preserve"> </v>
      </c>
      <c r="J15" s="26" t="str">
        <f t="shared" si="15"/>
        <v xml:space="preserve"> </v>
      </c>
      <c r="K15" s="26" t="str">
        <f t="shared" si="15"/>
        <v xml:space="preserve"> </v>
      </c>
      <c r="L15" s="37" t="str">
        <f>IF(L13&gt;60000,(L13-60000)*0.1," ")</f>
        <v xml:space="preserve"> </v>
      </c>
      <c r="M15" s="26" t="str">
        <f t="shared" ref="M15:O15" si="16">IF(M13&gt;20000,(M13-20000)*0.1," ")</f>
        <v xml:space="preserve"> </v>
      </c>
      <c r="N15" s="26" t="str">
        <f t="shared" si="16"/>
        <v xml:space="preserve"> </v>
      </c>
      <c r="O15" s="26" t="str">
        <f t="shared" si="16"/>
        <v xml:space="preserve"> </v>
      </c>
      <c r="P15" s="37" t="str">
        <f>IF(P13&gt;60000,(P13-60000)*0.1," ")</f>
        <v xml:space="preserve"> </v>
      </c>
      <c r="Q15" s="26" t="str">
        <f t="shared" ref="Q15:S15" si="17">IF(Q13&gt;20000,(Q13-20000)*0.1," ")</f>
        <v xml:space="preserve"> </v>
      </c>
      <c r="R15" s="26" t="str">
        <f t="shared" si="17"/>
        <v xml:space="preserve"> </v>
      </c>
      <c r="S15" s="26" t="str">
        <f t="shared" si="17"/>
        <v xml:space="preserve"> </v>
      </c>
      <c r="T15" s="37" t="str">
        <f>IF(T13&gt;60000,(T13-60000)*0.1," ")</f>
        <v xml:space="preserve"> </v>
      </c>
      <c r="X15" s="30"/>
      <c r="Y15" s="30"/>
      <c r="Z15" s="30"/>
      <c r="AA15" s="30"/>
      <c r="AB15" s="30"/>
    </row>
    <row r="16" spans="1:28" x14ac:dyDescent="0.25">
      <c r="A16" s="24" t="s">
        <v>56</v>
      </c>
      <c r="B16" s="25"/>
      <c r="C16" s="26">
        <v>1166.27</v>
      </c>
      <c r="D16" s="26">
        <f>3515.22+13.13+345.6+187.2+308.8+322.8</f>
        <v>4692.75</v>
      </c>
      <c r="E16" s="26">
        <v>0</v>
      </c>
      <c r="F16" s="37">
        <f>SUM(C16:E16)</f>
        <v>5859.02</v>
      </c>
      <c r="G16" s="37">
        <f>SUM(C16,D16,E16)*Z21</f>
        <v>0</v>
      </c>
      <c r="H16" s="37">
        <v>0</v>
      </c>
      <c r="I16" s="26">
        <v>0</v>
      </c>
      <c r="J16" s="26">
        <v>0</v>
      </c>
      <c r="K16" s="26">
        <v>0</v>
      </c>
      <c r="L16" s="37">
        <f>SUM(I16:K16)</f>
        <v>0</v>
      </c>
      <c r="M16" s="26">
        <v>0</v>
      </c>
      <c r="N16" s="26">
        <v>0</v>
      </c>
      <c r="O16" s="26">
        <v>0</v>
      </c>
      <c r="P16" s="43">
        <f>SUM(M16:O16)</f>
        <v>0</v>
      </c>
      <c r="Q16" s="26">
        <v>0</v>
      </c>
      <c r="R16" s="26">
        <v>0</v>
      </c>
      <c r="S16" s="26">
        <v>0</v>
      </c>
      <c r="T16" s="37">
        <f>SUM(Q16:S16)</f>
        <v>0</v>
      </c>
      <c r="X16" s="41"/>
      <c r="Y16" s="41"/>
      <c r="Z16" s="41"/>
      <c r="AA16" s="41"/>
      <c r="AB16" s="41"/>
    </row>
    <row r="17" spans="1:28" s="30" customFormat="1" x14ac:dyDescent="0.25">
      <c r="A17" s="28" t="s">
        <v>57</v>
      </c>
      <c r="B17" s="29"/>
      <c r="C17" s="29">
        <f>SUM(C14:C15)-C16</f>
        <v>220721.3083</v>
      </c>
      <c r="D17" s="29">
        <f>SUM(D14:D15)-D16</f>
        <v>38364.849300000002</v>
      </c>
      <c r="E17" s="29">
        <f>SUM(E14:E15)-E16</f>
        <v>38912.270299999996</v>
      </c>
      <c r="F17" s="29">
        <f t="shared" ref="F17" si="18">SUM(F14:F15)-F16</f>
        <v>297998.42790000001</v>
      </c>
      <c r="G17" s="29" t="e">
        <f t="shared" ref="G17" si="19">SUM(G14:G15)-G16</f>
        <v>#REF!</v>
      </c>
      <c r="H17" s="29">
        <f>SUM(H14:H15)-H16</f>
        <v>19791.741185522784</v>
      </c>
      <c r="I17" s="29">
        <f t="shared" ref="I17:S17" si="20">SUM(I14:I15)-I16</f>
        <v>0</v>
      </c>
      <c r="J17" s="29">
        <f t="shared" si="20"/>
        <v>0</v>
      </c>
      <c r="K17" s="29">
        <f>SUM(K14:K15)-K16</f>
        <v>0</v>
      </c>
      <c r="L17" s="29">
        <f>SUM(L14:L15)-L16</f>
        <v>0</v>
      </c>
      <c r="M17" s="29">
        <f t="shared" si="20"/>
        <v>0</v>
      </c>
      <c r="N17" s="29">
        <f t="shared" si="20"/>
        <v>0</v>
      </c>
      <c r="O17" s="29">
        <f t="shared" si="20"/>
        <v>0</v>
      </c>
      <c r="P17" s="29">
        <f t="shared" ref="P17" si="21">SUM(P14:P15)-P16</f>
        <v>0</v>
      </c>
      <c r="Q17" s="29">
        <f t="shared" si="20"/>
        <v>0</v>
      </c>
      <c r="R17" s="29">
        <f>SUM(R14:R15)-R16</f>
        <v>0</v>
      </c>
      <c r="S17" s="29">
        <f t="shared" si="20"/>
        <v>0</v>
      </c>
      <c r="T17" s="29">
        <f>SUM(T14:T15)-T16</f>
        <v>0</v>
      </c>
      <c r="U17" s="30">
        <f>SUM(T17,P17,L17,F17)</f>
        <v>297998.42790000001</v>
      </c>
      <c r="X17"/>
      <c r="Y17"/>
      <c r="Z17" s="45"/>
      <c r="AA17" s="45"/>
      <c r="AB17"/>
    </row>
    <row r="18" spans="1:28" s="41" customFormat="1" x14ac:dyDescent="0.25">
      <c r="A18" s="38" t="s">
        <v>73</v>
      </c>
      <c r="B18" s="39"/>
      <c r="C18" s="39"/>
      <c r="D18" s="39"/>
      <c r="E18" s="39"/>
      <c r="F18" s="40"/>
      <c r="G18" s="40"/>
      <c r="H18" s="40"/>
      <c r="I18" s="39"/>
      <c r="J18" s="39"/>
      <c r="K18" s="39"/>
      <c r="L18" s="40"/>
      <c r="M18" s="39"/>
      <c r="N18" s="39"/>
      <c r="O18" s="39"/>
      <c r="P18" s="40"/>
      <c r="Q18" s="39"/>
      <c r="R18" s="39"/>
      <c r="S18" s="39"/>
      <c r="T18" s="40"/>
      <c r="U18" s="30">
        <f>SUM(T18,P18,L18,F18)</f>
        <v>0</v>
      </c>
      <c r="V18" s="30"/>
      <c r="X18"/>
      <c r="Y18"/>
      <c r="Z18"/>
      <c r="AA18"/>
      <c r="AB18"/>
    </row>
    <row r="19" spans="1:28" x14ac:dyDescent="0.25">
      <c r="A19" s="24" t="s">
        <v>49</v>
      </c>
      <c r="B19" s="25"/>
      <c r="C19" s="26">
        <f t="shared" ref="C19:E23" si="22">C2</f>
        <v>452786.14</v>
      </c>
      <c r="D19" s="26">
        <f t="shared" si="22"/>
        <v>845962.7</v>
      </c>
      <c r="E19" s="26">
        <f t="shared" si="22"/>
        <v>1084051.6599999999</v>
      </c>
      <c r="F19" s="37">
        <f>SUM(C19:E19)</f>
        <v>2382800.5</v>
      </c>
      <c r="G19" s="37"/>
      <c r="H19" s="37"/>
      <c r="I19" s="26">
        <f t="shared" ref="I19:K23" si="23">I2</f>
        <v>0</v>
      </c>
      <c r="J19" s="26">
        <f t="shared" si="23"/>
        <v>0</v>
      </c>
      <c r="K19" s="26">
        <f t="shared" si="23"/>
        <v>0</v>
      </c>
      <c r="L19" s="37">
        <f t="shared" ref="L19:L23" si="24">SUM(I19:K19)</f>
        <v>0</v>
      </c>
      <c r="M19" s="26">
        <f t="shared" ref="M19:S23" si="25">M2</f>
        <v>0</v>
      </c>
      <c r="N19" s="26">
        <f t="shared" si="25"/>
        <v>0</v>
      </c>
      <c r="O19" s="26">
        <f t="shared" si="25"/>
        <v>0</v>
      </c>
      <c r="P19" s="37">
        <f t="shared" ref="P19:P23" si="26">SUM(M19:O19)</f>
        <v>0</v>
      </c>
      <c r="Q19" s="26">
        <f t="shared" si="25"/>
        <v>0</v>
      </c>
      <c r="R19" s="26">
        <f t="shared" si="25"/>
        <v>0</v>
      </c>
      <c r="S19" s="26">
        <f t="shared" si="25"/>
        <v>0</v>
      </c>
      <c r="T19" s="37">
        <f t="shared" ref="T19:T23" si="27">SUM(Q19:S19)</f>
        <v>0</v>
      </c>
      <c r="U19" s="30"/>
      <c r="V19" s="30"/>
      <c r="AA19" s="45"/>
    </row>
    <row r="20" spans="1:28" x14ac:dyDescent="0.25">
      <c r="A20" s="24" t="s">
        <v>83</v>
      </c>
      <c r="B20" s="25"/>
      <c r="C20" s="26">
        <f t="shared" si="22"/>
        <v>0</v>
      </c>
      <c r="D20" s="26">
        <f t="shared" si="22"/>
        <v>0</v>
      </c>
      <c r="E20" s="26">
        <f t="shared" si="22"/>
        <v>0</v>
      </c>
      <c r="F20" s="37">
        <f>SUM(C20:E20)</f>
        <v>0</v>
      </c>
      <c r="G20" s="37"/>
      <c r="H20" s="37"/>
      <c r="I20" s="26">
        <f t="shared" si="23"/>
        <v>0</v>
      </c>
      <c r="J20" s="26">
        <f t="shared" si="23"/>
        <v>0</v>
      </c>
      <c r="K20" s="26">
        <f t="shared" si="23"/>
        <v>0</v>
      </c>
      <c r="L20" s="37">
        <f t="shared" si="24"/>
        <v>0</v>
      </c>
      <c r="M20" s="26">
        <f t="shared" si="25"/>
        <v>0</v>
      </c>
      <c r="N20" s="26">
        <f t="shared" si="25"/>
        <v>0</v>
      </c>
      <c r="O20" s="26">
        <f t="shared" si="25"/>
        <v>0</v>
      </c>
      <c r="P20" s="37">
        <f t="shared" si="26"/>
        <v>0</v>
      </c>
      <c r="Q20" s="26">
        <f t="shared" si="25"/>
        <v>0</v>
      </c>
      <c r="R20" s="26">
        <f t="shared" si="25"/>
        <v>0</v>
      </c>
      <c r="S20" s="26">
        <f t="shared" si="25"/>
        <v>0</v>
      </c>
      <c r="T20" s="37">
        <f t="shared" si="27"/>
        <v>0</v>
      </c>
      <c r="U20" s="30"/>
      <c r="V20" s="30"/>
    </row>
    <row r="21" spans="1:28" x14ac:dyDescent="0.25">
      <c r="A21" s="24" t="s">
        <v>4</v>
      </c>
      <c r="B21" s="25"/>
      <c r="C21" s="26">
        <f t="shared" si="22"/>
        <v>34559.440000000002</v>
      </c>
      <c r="D21" s="26">
        <f t="shared" si="22"/>
        <v>58611.9</v>
      </c>
      <c r="E21" s="26">
        <f t="shared" si="22"/>
        <v>89698.42</v>
      </c>
      <c r="F21" s="37">
        <f>SUM(C21:E21)</f>
        <v>182869.76000000001</v>
      </c>
      <c r="G21" s="37"/>
      <c r="H21" s="37"/>
      <c r="I21" s="26">
        <f t="shared" si="23"/>
        <v>0</v>
      </c>
      <c r="J21" s="26">
        <f t="shared" si="23"/>
        <v>0</v>
      </c>
      <c r="K21" s="26">
        <f t="shared" si="23"/>
        <v>0</v>
      </c>
      <c r="L21" s="37">
        <f t="shared" si="24"/>
        <v>0</v>
      </c>
      <c r="M21" s="26">
        <f t="shared" si="25"/>
        <v>0</v>
      </c>
      <c r="N21" s="26">
        <f t="shared" si="25"/>
        <v>0</v>
      </c>
      <c r="O21" s="26">
        <f t="shared" si="25"/>
        <v>0</v>
      </c>
      <c r="P21" s="37">
        <f t="shared" si="26"/>
        <v>0</v>
      </c>
      <c r="Q21" s="26">
        <f t="shared" si="25"/>
        <v>0</v>
      </c>
      <c r="R21" s="26">
        <f t="shared" si="25"/>
        <v>0</v>
      </c>
      <c r="S21" s="26">
        <f t="shared" si="25"/>
        <v>0</v>
      </c>
      <c r="T21" s="37">
        <f t="shared" si="27"/>
        <v>0</v>
      </c>
      <c r="U21" s="30"/>
      <c r="V21" s="30"/>
    </row>
    <row r="22" spans="1:28" x14ac:dyDescent="0.25">
      <c r="A22" s="24" t="s">
        <v>82</v>
      </c>
      <c r="B22" s="25"/>
      <c r="C22" s="26">
        <f t="shared" si="22"/>
        <v>74261.87</v>
      </c>
      <c r="D22" s="26">
        <f t="shared" si="22"/>
        <v>137738.53</v>
      </c>
      <c r="E22" s="26">
        <f t="shared" si="22"/>
        <v>175341.51</v>
      </c>
      <c r="F22" s="37">
        <f>SUM(C22:E22)</f>
        <v>387341.91000000003</v>
      </c>
      <c r="G22" s="37"/>
      <c r="H22" s="37"/>
      <c r="I22" s="26">
        <f t="shared" si="23"/>
        <v>0</v>
      </c>
      <c r="J22" s="26">
        <f t="shared" si="23"/>
        <v>0</v>
      </c>
      <c r="K22" s="26">
        <f t="shared" si="23"/>
        <v>0</v>
      </c>
      <c r="L22" s="37">
        <f t="shared" si="24"/>
        <v>0</v>
      </c>
      <c r="M22" s="26">
        <f t="shared" si="25"/>
        <v>0</v>
      </c>
      <c r="N22" s="26">
        <f t="shared" si="25"/>
        <v>0</v>
      </c>
      <c r="O22" s="26">
        <f t="shared" si="25"/>
        <v>0</v>
      </c>
      <c r="P22" s="37">
        <f t="shared" si="26"/>
        <v>0</v>
      </c>
      <c r="Q22" s="26">
        <f t="shared" si="25"/>
        <v>0</v>
      </c>
      <c r="R22" s="26">
        <f t="shared" si="25"/>
        <v>0</v>
      </c>
      <c r="S22" s="26">
        <f t="shared" si="25"/>
        <v>0</v>
      </c>
      <c r="T22" s="37">
        <f t="shared" si="27"/>
        <v>0</v>
      </c>
      <c r="U22" s="30"/>
      <c r="V22" s="30"/>
    </row>
    <row r="23" spans="1:28" x14ac:dyDescent="0.25">
      <c r="A23" s="24" t="s">
        <v>84</v>
      </c>
      <c r="B23" s="25"/>
      <c r="C23" s="26">
        <f t="shared" si="22"/>
        <v>0</v>
      </c>
      <c r="D23" s="26">
        <f t="shared" si="22"/>
        <v>0</v>
      </c>
      <c r="E23" s="26">
        <f t="shared" si="22"/>
        <v>0</v>
      </c>
      <c r="F23" s="37">
        <f>SUM(C23:E23)</f>
        <v>0</v>
      </c>
      <c r="G23" s="37"/>
      <c r="H23" s="37"/>
      <c r="I23" s="26">
        <f t="shared" si="23"/>
        <v>0</v>
      </c>
      <c r="J23" s="26">
        <f t="shared" si="23"/>
        <v>0</v>
      </c>
      <c r="K23" s="26">
        <f t="shared" si="23"/>
        <v>0</v>
      </c>
      <c r="L23" s="37">
        <f t="shared" si="24"/>
        <v>0</v>
      </c>
      <c r="M23" s="26">
        <f t="shared" si="25"/>
        <v>0</v>
      </c>
      <c r="N23" s="26">
        <f t="shared" si="25"/>
        <v>0</v>
      </c>
      <c r="O23" s="26">
        <f t="shared" si="25"/>
        <v>0</v>
      </c>
      <c r="P23" s="37">
        <f t="shared" si="26"/>
        <v>0</v>
      </c>
      <c r="Q23" s="26">
        <f t="shared" si="25"/>
        <v>0</v>
      </c>
      <c r="R23" s="26">
        <f t="shared" si="25"/>
        <v>0</v>
      </c>
      <c r="S23" s="26">
        <f t="shared" si="25"/>
        <v>0</v>
      </c>
      <c r="T23" s="37">
        <f t="shared" si="27"/>
        <v>0</v>
      </c>
      <c r="U23" s="30"/>
      <c r="V23" s="30"/>
    </row>
    <row r="24" spans="1:28" x14ac:dyDescent="0.25">
      <c r="A24" s="24" t="s">
        <v>78</v>
      </c>
      <c r="B24" s="25">
        <v>0.12</v>
      </c>
      <c r="C24" s="26">
        <f>(C19-C20-C21-C22+C23)*$B$24</f>
        <v>41275.779600000002</v>
      </c>
      <c r="D24" s="26">
        <f>(D19-D20-D21-D22+D23)*$B$24</f>
        <v>77953.472399999984</v>
      </c>
      <c r="E24" s="26">
        <f>(E19-E20-E21-E22+E23)*$B$24</f>
        <v>98281.407599999977</v>
      </c>
      <c r="F24" s="37">
        <f>(F19-F20-F21-F22+F23)*$B$24</f>
        <v>217510.65960000001</v>
      </c>
      <c r="G24" s="37"/>
      <c r="H24" s="37"/>
      <c r="I24" s="26">
        <f t="shared" ref="I24:K24" si="28">(I19-I20-I21-I22+I23)*$B$24</f>
        <v>0</v>
      </c>
      <c r="J24" s="26">
        <f t="shared" si="28"/>
        <v>0</v>
      </c>
      <c r="K24" s="26">
        <f t="shared" si="28"/>
        <v>0</v>
      </c>
      <c r="L24" s="37">
        <f>(L19-L20-L21-L22+L23)*$B$24</f>
        <v>0</v>
      </c>
      <c r="M24" s="26">
        <f t="shared" ref="M24:N24" si="29">(M19-M20-M21-M22+M23)*$B$24</f>
        <v>0</v>
      </c>
      <c r="N24" s="26">
        <f t="shared" si="29"/>
        <v>0</v>
      </c>
      <c r="O24" s="26">
        <f>(O19-O20-O21-O22+O23)*$B$24</f>
        <v>0</v>
      </c>
      <c r="P24" s="37">
        <f>(P19-P20-P21-P22+P23)*$B$24</f>
        <v>0</v>
      </c>
      <c r="Q24" s="26">
        <f t="shared" ref="Q24:S24" si="30">(Q19-Q20-Q21-Q22+Q23)*$B$24</f>
        <v>0</v>
      </c>
      <c r="R24" s="26">
        <f t="shared" si="30"/>
        <v>0</v>
      </c>
      <c r="S24" s="26">
        <f t="shared" si="30"/>
        <v>0</v>
      </c>
      <c r="T24" s="37">
        <f>(T19-T20-T21-T22+T23)*$B$24</f>
        <v>0</v>
      </c>
      <c r="U24" s="30"/>
      <c r="V24" s="30"/>
    </row>
    <row r="25" spans="1:28" x14ac:dyDescent="0.25">
      <c r="A25" s="24" t="s">
        <v>51</v>
      </c>
      <c r="B25" s="25"/>
      <c r="C25" s="26">
        <f t="shared" ref="C25:E26" si="31">C8</f>
        <v>81994.67</v>
      </c>
      <c r="D25" s="26">
        <f t="shared" si="31"/>
        <v>79632.66</v>
      </c>
      <c r="E25" s="26">
        <f t="shared" si="31"/>
        <v>120768.88</v>
      </c>
      <c r="F25" s="37">
        <f>SUM(C25:E25)</f>
        <v>282396.21000000002</v>
      </c>
      <c r="G25" s="37"/>
      <c r="H25" s="37"/>
      <c r="I25" s="26">
        <f t="shared" ref="I25:K26" si="32">I8</f>
        <v>0</v>
      </c>
      <c r="J25" s="26">
        <f t="shared" si="32"/>
        <v>0</v>
      </c>
      <c r="K25" s="26">
        <f t="shared" si="32"/>
        <v>0</v>
      </c>
      <c r="L25" s="37">
        <f t="shared" ref="L25:L26" si="33">SUM(I25:K25)</f>
        <v>0</v>
      </c>
      <c r="M25" s="26">
        <f t="shared" ref="M25:S26" si="34">M8</f>
        <v>0</v>
      </c>
      <c r="N25" s="26">
        <f t="shared" si="34"/>
        <v>0</v>
      </c>
      <c r="O25" s="26">
        <f t="shared" si="34"/>
        <v>0</v>
      </c>
      <c r="P25" s="37">
        <f t="shared" ref="P25:P26" si="35">SUM(M25:O25)</f>
        <v>0</v>
      </c>
      <c r="Q25" s="26">
        <f t="shared" si="34"/>
        <v>0</v>
      </c>
      <c r="R25" s="26">
        <f t="shared" si="34"/>
        <v>0</v>
      </c>
      <c r="S25" s="26">
        <f t="shared" si="34"/>
        <v>0</v>
      </c>
      <c r="T25" s="37">
        <f t="shared" ref="T25:T26" si="36">SUM(Q25:S25)</f>
        <v>0</v>
      </c>
      <c r="U25" s="30"/>
      <c r="V25" s="30"/>
    </row>
    <row r="26" spans="1:28" x14ac:dyDescent="0.25">
      <c r="A26" s="24" t="s">
        <v>85</v>
      </c>
      <c r="B26" s="25"/>
      <c r="C26" s="26">
        <f t="shared" si="31"/>
        <v>1770.93</v>
      </c>
      <c r="D26" s="26">
        <f t="shared" si="31"/>
        <v>1652.83</v>
      </c>
      <c r="E26" s="26">
        <f t="shared" si="31"/>
        <v>2434.84</v>
      </c>
      <c r="F26" s="37">
        <f>SUM(C26:E26)</f>
        <v>5858.6</v>
      </c>
      <c r="G26" s="37"/>
      <c r="H26" s="37"/>
      <c r="I26" s="26">
        <f t="shared" si="32"/>
        <v>0</v>
      </c>
      <c r="J26" s="26">
        <f t="shared" si="32"/>
        <v>0</v>
      </c>
      <c r="K26" s="26">
        <f t="shared" si="32"/>
        <v>0</v>
      </c>
      <c r="L26" s="37">
        <f t="shared" si="33"/>
        <v>0</v>
      </c>
      <c r="M26" s="26">
        <f t="shared" si="34"/>
        <v>0</v>
      </c>
      <c r="N26" s="26">
        <f t="shared" si="34"/>
        <v>0</v>
      </c>
      <c r="O26" s="26">
        <f t="shared" si="34"/>
        <v>0</v>
      </c>
      <c r="P26" s="37">
        <f t="shared" si="35"/>
        <v>0</v>
      </c>
      <c r="Q26" s="26">
        <f t="shared" si="34"/>
        <v>0</v>
      </c>
      <c r="R26" s="26">
        <f t="shared" si="34"/>
        <v>0</v>
      </c>
      <c r="S26" s="26">
        <f t="shared" si="34"/>
        <v>0</v>
      </c>
      <c r="T26" s="37">
        <f t="shared" si="36"/>
        <v>0</v>
      </c>
      <c r="U26" s="30"/>
      <c r="V26" s="30"/>
    </row>
    <row r="27" spans="1:28" x14ac:dyDescent="0.25">
      <c r="A27" s="24" t="s">
        <v>78</v>
      </c>
      <c r="B27" s="25">
        <v>0.32</v>
      </c>
      <c r="C27" s="26">
        <f>(C25-C26)*$B$27</f>
        <v>25671.596800000003</v>
      </c>
      <c r="D27" s="26">
        <f>(D25-D26)*$B$27</f>
        <v>24953.545600000001</v>
      </c>
      <c r="E27" s="26">
        <f>(E25-E26)*$B$27</f>
        <v>37866.892800000001</v>
      </c>
      <c r="F27" s="37">
        <f>(F25-F26)*$B$27</f>
        <v>88492.035200000013</v>
      </c>
      <c r="G27" s="37"/>
      <c r="H27" s="37"/>
      <c r="I27" s="26">
        <f t="shared" ref="I27:K27" si="37">(I25-I26)*$B$27</f>
        <v>0</v>
      </c>
      <c r="J27" s="26">
        <f t="shared" si="37"/>
        <v>0</v>
      </c>
      <c r="K27" s="26">
        <f t="shared" si="37"/>
        <v>0</v>
      </c>
      <c r="L27" s="37">
        <f>(L25-L26)*$B$27</f>
        <v>0</v>
      </c>
      <c r="M27" s="26">
        <f t="shared" ref="M27:O27" si="38">(M25-M26)*$B$27</f>
        <v>0</v>
      </c>
      <c r="N27" s="26">
        <f t="shared" si="38"/>
        <v>0</v>
      </c>
      <c r="O27" s="26">
        <f t="shared" si="38"/>
        <v>0</v>
      </c>
      <c r="P27" s="37">
        <f>(P25-P26)*$B$27</f>
        <v>0</v>
      </c>
      <c r="Q27" s="26">
        <f t="shared" ref="Q27:S27" si="39">(Q25-Q26)*$B$27</f>
        <v>0</v>
      </c>
      <c r="R27" s="26">
        <f t="shared" si="39"/>
        <v>0</v>
      </c>
      <c r="S27" s="26">
        <f t="shared" si="39"/>
        <v>0</v>
      </c>
      <c r="T27" s="37">
        <f>(T25-T26)*$B$27</f>
        <v>0</v>
      </c>
      <c r="U27" s="30"/>
      <c r="V27" s="30"/>
    </row>
    <row r="28" spans="1:28" x14ac:dyDescent="0.25">
      <c r="A28" s="24" t="s">
        <v>52</v>
      </c>
      <c r="B28" s="25"/>
      <c r="C28" s="26">
        <f>C24+C27</f>
        <v>66947.376400000008</v>
      </c>
      <c r="D28" s="26">
        <f>D24+D27</f>
        <v>102907.01799999998</v>
      </c>
      <c r="E28" s="26">
        <f>E24+E27</f>
        <v>136148.30039999998</v>
      </c>
      <c r="F28" s="37">
        <f>F24+F27</f>
        <v>306002.69480000006</v>
      </c>
      <c r="G28" s="37"/>
      <c r="H28" s="37"/>
      <c r="I28" s="26">
        <f t="shared" ref="I28:K28" si="40">I24+I27</f>
        <v>0</v>
      </c>
      <c r="J28" s="26">
        <f t="shared" si="40"/>
        <v>0</v>
      </c>
      <c r="K28" s="26">
        <f t="shared" si="40"/>
        <v>0</v>
      </c>
      <c r="L28" s="37">
        <f>L24+L27</f>
        <v>0</v>
      </c>
      <c r="M28" s="26">
        <f t="shared" ref="M28:S28" si="41">M24+M27</f>
        <v>0</v>
      </c>
      <c r="N28" s="26">
        <f t="shared" si="41"/>
        <v>0</v>
      </c>
      <c r="O28" s="26">
        <f t="shared" si="41"/>
        <v>0</v>
      </c>
      <c r="P28" s="37">
        <f>P24+P27</f>
        <v>0</v>
      </c>
      <c r="Q28" s="26">
        <f t="shared" si="41"/>
        <v>0</v>
      </c>
      <c r="R28" s="26">
        <f t="shared" si="41"/>
        <v>0</v>
      </c>
      <c r="S28" s="26">
        <f t="shared" si="41"/>
        <v>0</v>
      </c>
      <c r="T28" s="37">
        <f>T24+T27</f>
        <v>0</v>
      </c>
      <c r="U28" s="30"/>
      <c r="V28" s="30"/>
    </row>
    <row r="29" spans="1:28" x14ac:dyDescent="0.25">
      <c r="A29" s="24" t="s">
        <v>53</v>
      </c>
      <c r="B29" s="25"/>
      <c r="C29" s="26">
        <f>C12</f>
        <v>842361.53</v>
      </c>
      <c r="D29" s="26">
        <f>D12</f>
        <v>103307.87</v>
      </c>
      <c r="E29" s="26">
        <f>E12</f>
        <v>60261.25</v>
      </c>
      <c r="F29" s="37">
        <f>SUM(C29:E29)</f>
        <v>1005930.65</v>
      </c>
      <c r="G29" s="37"/>
      <c r="H29" s="37"/>
      <c r="I29" s="26">
        <f t="shared" ref="I29:K29" si="42">I12</f>
        <v>0</v>
      </c>
      <c r="J29" s="26">
        <f t="shared" si="42"/>
        <v>0</v>
      </c>
      <c r="K29" s="26">
        <f t="shared" si="42"/>
        <v>0</v>
      </c>
      <c r="L29" s="37">
        <f t="shared" ref="L29" si="43">SUM(I29:K29)</f>
        <v>0</v>
      </c>
      <c r="M29" s="26">
        <f t="shared" ref="M29:S29" si="44">M12</f>
        <v>0</v>
      </c>
      <c r="N29" s="26">
        <f t="shared" si="44"/>
        <v>0</v>
      </c>
      <c r="O29" s="26">
        <f t="shared" si="44"/>
        <v>0</v>
      </c>
      <c r="P29" s="37">
        <f t="shared" ref="P29" si="45">SUM(M29:O29)</f>
        <v>0</v>
      </c>
      <c r="Q29" s="26">
        <f t="shared" si="44"/>
        <v>0</v>
      </c>
      <c r="R29" s="26">
        <f t="shared" si="44"/>
        <v>0</v>
      </c>
      <c r="S29" s="26">
        <f t="shared" si="44"/>
        <v>0</v>
      </c>
      <c r="T29" s="43">
        <f t="shared" ref="T29" si="46">SUM(Q29:S29)</f>
        <v>0</v>
      </c>
      <c r="U29" s="30"/>
      <c r="V29" s="30"/>
    </row>
    <row r="30" spans="1:28" x14ac:dyDescent="0.25">
      <c r="A30" s="24" t="s">
        <v>77</v>
      </c>
      <c r="B30" s="25"/>
      <c r="C30" s="26">
        <f>C28+C29</f>
        <v>909308.90639999998</v>
      </c>
      <c r="D30" s="26">
        <f t="shared" ref="D30:F30" si="47">D28+D29</f>
        <v>206214.88799999998</v>
      </c>
      <c r="E30" s="26">
        <f t="shared" si="47"/>
        <v>196409.55039999998</v>
      </c>
      <c r="F30" s="37">
        <f t="shared" si="47"/>
        <v>1311933.3448000001</v>
      </c>
      <c r="G30" s="37"/>
      <c r="H30" s="37"/>
      <c r="I30" s="26">
        <f t="shared" ref="I30:S30" si="48">I28+I29</f>
        <v>0</v>
      </c>
      <c r="J30" s="26">
        <f t="shared" si="48"/>
        <v>0</v>
      </c>
      <c r="K30" s="26">
        <f t="shared" si="48"/>
        <v>0</v>
      </c>
      <c r="L30" s="37">
        <f>L28+L29</f>
        <v>0</v>
      </c>
      <c r="M30" s="26">
        <f t="shared" si="48"/>
        <v>0</v>
      </c>
      <c r="N30" s="26">
        <f t="shared" si="48"/>
        <v>0</v>
      </c>
      <c r="O30" s="26">
        <f t="shared" si="48"/>
        <v>0</v>
      </c>
      <c r="P30" s="37">
        <f>P28+P29</f>
        <v>0</v>
      </c>
      <c r="Q30" s="26">
        <f t="shared" si="48"/>
        <v>0</v>
      </c>
      <c r="R30" s="26">
        <f t="shared" si="48"/>
        <v>0</v>
      </c>
      <c r="S30" s="26">
        <f t="shared" si="48"/>
        <v>0</v>
      </c>
      <c r="T30" s="37">
        <f>T28+T29</f>
        <v>0</v>
      </c>
      <c r="U30" s="30"/>
      <c r="V30" s="30"/>
    </row>
    <row r="31" spans="1:28" x14ac:dyDescent="0.25">
      <c r="A31" s="24" t="s">
        <v>27</v>
      </c>
      <c r="B31" s="25">
        <v>0.09</v>
      </c>
      <c r="C31" s="26">
        <f>C30*$B$31</f>
        <v>81837.801575999998</v>
      </c>
      <c r="D31" s="26">
        <f t="shared" ref="D31:E31" si="49">D30*$B$31</f>
        <v>18559.339919999999</v>
      </c>
      <c r="E31" s="26">
        <f t="shared" si="49"/>
        <v>17676.859535999996</v>
      </c>
      <c r="F31" s="37">
        <f>F30*$B$31</f>
        <v>118074.001032</v>
      </c>
      <c r="G31" s="37"/>
      <c r="H31" s="37"/>
      <c r="I31" s="26">
        <f t="shared" ref="I31:S31" si="50">I30*$B$31</f>
        <v>0</v>
      </c>
      <c r="J31" s="26">
        <f t="shared" si="50"/>
        <v>0</v>
      </c>
      <c r="K31" s="26">
        <f t="shared" si="50"/>
        <v>0</v>
      </c>
      <c r="L31" s="37">
        <f>L30*$B$31</f>
        <v>0</v>
      </c>
      <c r="M31" s="26">
        <f t="shared" si="50"/>
        <v>0</v>
      </c>
      <c r="N31" s="26">
        <f t="shared" si="50"/>
        <v>0</v>
      </c>
      <c r="O31" s="26">
        <f t="shared" si="50"/>
        <v>0</v>
      </c>
      <c r="P31" s="37">
        <f>P30*$B$31</f>
        <v>0</v>
      </c>
      <c r="Q31" s="26">
        <f t="shared" si="50"/>
        <v>0</v>
      </c>
      <c r="R31" s="26">
        <f t="shared" si="50"/>
        <v>0</v>
      </c>
      <c r="S31" s="26">
        <f t="shared" si="50"/>
        <v>0</v>
      </c>
      <c r="T31" s="37">
        <f>T30*$B$31</f>
        <v>0</v>
      </c>
      <c r="U31" s="30"/>
      <c r="V31" s="30"/>
      <c r="X31" s="5"/>
      <c r="Y31" s="5"/>
      <c r="Z31" s="5"/>
      <c r="AA31" s="5"/>
      <c r="AB31" s="5"/>
    </row>
    <row r="32" spans="1:28" x14ac:dyDescent="0.25">
      <c r="A32" s="24" t="s">
        <v>59</v>
      </c>
      <c r="B32" s="25"/>
      <c r="C32" s="44">
        <v>776.27</v>
      </c>
      <c r="D32" s="26">
        <v>776.27</v>
      </c>
      <c r="E32" s="26">
        <v>0</v>
      </c>
      <c r="F32" s="37">
        <f>SUM(C32:E32)</f>
        <v>1552.54</v>
      </c>
      <c r="G32" s="37"/>
      <c r="H32" s="37"/>
      <c r="I32" s="26">
        <v>0</v>
      </c>
      <c r="J32" s="26">
        <v>0</v>
      </c>
      <c r="K32" s="26">
        <v>0</v>
      </c>
      <c r="L32" s="37">
        <f t="shared" ref="L32" si="51">SUM(I32:K32)</f>
        <v>0</v>
      </c>
      <c r="M32" s="26">
        <v>0</v>
      </c>
      <c r="N32" s="26">
        <v>0</v>
      </c>
      <c r="O32" s="26">
        <v>0</v>
      </c>
      <c r="P32" s="37">
        <f t="shared" ref="P32" si="52">SUM(M32:O32)</f>
        <v>0</v>
      </c>
      <c r="Q32" s="26">
        <v>0</v>
      </c>
      <c r="R32" s="26">
        <v>0</v>
      </c>
      <c r="S32" s="26">
        <v>0</v>
      </c>
      <c r="T32" s="37">
        <f t="shared" ref="T32" si="53">SUM(Q32:S32)</f>
        <v>0</v>
      </c>
      <c r="U32" s="30"/>
      <c r="V32" s="30"/>
      <c r="X32" s="41"/>
      <c r="Y32" s="41"/>
      <c r="Z32" s="41"/>
      <c r="AA32" s="41"/>
      <c r="AB32" s="41"/>
    </row>
    <row r="33" spans="1:28" s="5" customFormat="1" x14ac:dyDescent="0.25">
      <c r="A33" s="32" t="s">
        <v>60</v>
      </c>
      <c r="B33" s="33"/>
      <c r="C33" s="29">
        <f>C31-C32</f>
        <v>81061.531575999994</v>
      </c>
      <c r="D33" s="29">
        <f>D31-D32</f>
        <v>17783.069919999998</v>
      </c>
      <c r="E33" s="29">
        <f>E31-E32</f>
        <v>17676.859535999996</v>
      </c>
      <c r="F33" s="29">
        <f t="shared" ref="F33:T33" si="54">F31-F32</f>
        <v>116521.46103200001</v>
      </c>
      <c r="G33" s="29"/>
      <c r="H33" s="29"/>
      <c r="I33" s="29">
        <f t="shared" si="54"/>
        <v>0</v>
      </c>
      <c r="J33" s="29">
        <f t="shared" si="54"/>
        <v>0</v>
      </c>
      <c r="K33" s="29">
        <f t="shared" si="54"/>
        <v>0</v>
      </c>
      <c r="L33" s="29">
        <f t="shared" si="54"/>
        <v>0</v>
      </c>
      <c r="M33" s="29">
        <f t="shared" si="54"/>
        <v>0</v>
      </c>
      <c r="N33" s="29">
        <f t="shared" si="54"/>
        <v>0</v>
      </c>
      <c r="O33" s="29">
        <f t="shared" si="54"/>
        <v>0</v>
      </c>
      <c r="P33" s="29">
        <f t="shared" si="54"/>
        <v>0</v>
      </c>
      <c r="Q33" s="29">
        <f t="shared" si="54"/>
        <v>0</v>
      </c>
      <c r="R33" s="29">
        <f t="shared" si="54"/>
        <v>0</v>
      </c>
      <c r="S33" s="29">
        <f t="shared" si="54"/>
        <v>0</v>
      </c>
      <c r="T33" s="29">
        <f t="shared" si="54"/>
        <v>0</v>
      </c>
      <c r="U33" s="30">
        <f>SUM(T33,P33,L33,F33)</f>
        <v>116521.46103200001</v>
      </c>
      <c r="V33" s="30"/>
      <c r="X33"/>
      <c r="Y33"/>
      <c r="Z33"/>
      <c r="AA33"/>
      <c r="AB33"/>
    </row>
    <row r="34" spans="1:28" s="41" customFormat="1" x14ac:dyDescent="0.25">
      <c r="A34" s="38" t="s">
        <v>74</v>
      </c>
      <c r="B34" s="39"/>
      <c r="C34" s="39"/>
      <c r="D34" s="39"/>
      <c r="E34" s="39"/>
      <c r="F34" s="40"/>
      <c r="G34" s="40"/>
      <c r="H34" s="40"/>
      <c r="I34" s="39"/>
      <c r="J34" s="39"/>
      <c r="K34" s="39"/>
      <c r="L34" s="40"/>
      <c r="M34" s="39"/>
      <c r="N34" s="39"/>
      <c r="O34" s="39"/>
      <c r="P34" s="40"/>
      <c r="Q34" s="39"/>
      <c r="R34" s="39"/>
      <c r="S34" s="39"/>
      <c r="T34" s="40"/>
      <c r="U34" s="30">
        <f>SUM(T34,P34,L34,F34)</f>
        <v>0</v>
      </c>
      <c r="V34" s="30"/>
      <c r="X34"/>
      <c r="Y34"/>
      <c r="Z34"/>
      <c r="AA34"/>
      <c r="AB34"/>
    </row>
    <row r="35" spans="1:28" hidden="1" x14ac:dyDescent="0.25">
      <c r="A35" s="24" t="s">
        <v>61</v>
      </c>
      <c r="B35" s="25"/>
      <c r="C35" s="31">
        <f>C2+C8</f>
        <v>534780.81000000006</v>
      </c>
      <c r="D35" s="31">
        <f>D2+D8</f>
        <v>925595.36</v>
      </c>
      <c r="E35" s="31">
        <f>E2+E8</f>
        <v>1204820.54</v>
      </c>
      <c r="F35" s="42"/>
      <c r="G35" s="42"/>
      <c r="H35" s="42"/>
      <c r="I35" s="31">
        <f>I2+I8</f>
        <v>0</v>
      </c>
      <c r="J35" s="31">
        <f>J2+J8</f>
        <v>0</v>
      </c>
      <c r="K35" s="31">
        <f>K2+K8</f>
        <v>0</v>
      </c>
      <c r="L35" s="43"/>
      <c r="M35" s="31">
        <f>M2+M8</f>
        <v>0</v>
      </c>
      <c r="N35" s="31">
        <f>N2+N8</f>
        <v>0</v>
      </c>
      <c r="O35" s="31">
        <f>O2+O8</f>
        <v>0</v>
      </c>
      <c r="P35" s="42"/>
      <c r="Q35" s="31">
        <f>Q2+Q8</f>
        <v>0</v>
      </c>
      <c r="R35" s="31">
        <f>R2+R8</f>
        <v>0</v>
      </c>
      <c r="S35" s="31">
        <f>S2+S8</f>
        <v>0</v>
      </c>
      <c r="T35" s="42"/>
    </row>
    <row r="36" spans="1:28" hidden="1" x14ac:dyDescent="0.25">
      <c r="A36" s="24" t="s">
        <v>79</v>
      </c>
      <c r="B36" s="35">
        <v>6.4999999999999997E-3</v>
      </c>
      <c r="C36" s="31">
        <f>C35*$B$36</f>
        <v>3476.0752650000004</v>
      </c>
      <c r="D36" s="31">
        <f>D35*$B$36</f>
        <v>6016.3698399999994</v>
      </c>
      <c r="E36" s="31">
        <f>E35*$B$36</f>
        <v>7831.3335099999995</v>
      </c>
      <c r="F36" s="42"/>
      <c r="G36" s="42"/>
      <c r="H36" s="42"/>
      <c r="I36" s="31">
        <f>I35*$B$36</f>
        <v>0</v>
      </c>
      <c r="J36" s="31">
        <f>J35*$B$36</f>
        <v>0</v>
      </c>
      <c r="K36" s="31">
        <f>K35*$B$36</f>
        <v>0</v>
      </c>
      <c r="L36" s="43"/>
      <c r="M36" s="31">
        <f>M35*$B$36</f>
        <v>0</v>
      </c>
      <c r="N36" s="31">
        <f>N35*$B$36</f>
        <v>0</v>
      </c>
      <c r="O36" s="31">
        <f>O35*$B$36</f>
        <v>0</v>
      </c>
      <c r="P36" s="42"/>
      <c r="Q36" s="26">
        <f>Q35*$B$36</f>
        <v>0</v>
      </c>
      <c r="R36" s="31">
        <f>R35*$B$36</f>
        <v>0</v>
      </c>
      <c r="S36" s="31">
        <f>S35*$B$36</f>
        <v>0</v>
      </c>
      <c r="T36" s="42"/>
      <c r="X36" s="5"/>
      <c r="Y36" s="5"/>
      <c r="Z36" s="5"/>
      <c r="AA36" s="5"/>
      <c r="AB36" s="5"/>
    </row>
    <row r="37" spans="1:28" hidden="1" x14ac:dyDescent="0.25">
      <c r="A37" s="24" t="s">
        <v>63</v>
      </c>
      <c r="B37" s="25"/>
      <c r="C37" s="31"/>
      <c r="D37" s="31"/>
      <c r="E37" s="31"/>
      <c r="F37" s="42"/>
      <c r="G37" s="42"/>
      <c r="H37" s="42"/>
      <c r="I37" s="31"/>
      <c r="J37" s="31"/>
      <c r="K37" s="31"/>
      <c r="L37" s="43"/>
      <c r="M37" s="31"/>
      <c r="N37" s="31"/>
      <c r="O37" s="31">
        <v>0</v>
      </c>
      <c r="P37" s="42"/>
      <c r="Q37" s="31"/>
      <c r="R37" s="31"/>
      <c r="S37" s="31"/>
      <c r="T37" s="42"/>
    </row>
    <row r="38" spans="1:28" s="5" customFormat="1" hidden="1" x14ac:dyDescent="0.25">
      <c r="A38" s="32" t="s">
        <v>64</v>
      </c>
      <c r="B38" s="33"/>
      <c r="C38" s="29">
        <f>C36-C37</f>
        <v>3476.0752650000004</v>
      </c>
      <c r="D38" s="29">
        <f>D36-D37</f>
        <v>6016.3698399999994</v>
      </c>
      <c r="E38" s="29">
        <f>E36-E37</f>
        <v>7831.3335099999995</v>
      </c>
      <c r="F38" s="29"/>
      <c r="G38" s="29"/>
      <c r="H38" s="29"/>
      <c r="I38" s="29">
        <f>I36-I37</f>
        <v>0</v>
      </c>
      <c r="J38" s="29">
        <f>J36-J37</f>
        <v>0</v>
      </c>
      <c r="K38" s="29">
        <f>K36-K37</f>
        <v>0</v>
      </c>
      <c r="L38" s="29"/>
      <c r="M38" s="29">
        <f>M36-M37</f>
        <v>0</v>
      </c>
      <c r="N38" s="29">
        <f>N36-N37</f>
        <v>0</v>
      </c>
      <c r="O38" s="29">
        <f>O36-O37</f>
        <v>0</v>
      </c>
      <c r="P38" s="29"/>
      <c r="Q38" s="29">
        <f>Q36-Q37</f>
        <v>0</v>
      </c>
      <c r="R38" s="29">
        <f>R36-R37</f>
        <v>0</v>
      </c>
      <c r="S38" s="29">
        <f>S36-S37</f>
        <v>0</v>
      </c>
      <c r="T38" s="29"/>
      <c r="X38"/>
      <c r="Y38"/>
      <c r="Z38"/>
      <c r="AA38"/>
      <c r="AB38"/>
    </row>
    <row r="39" spans="1:28" hidden="1" x14ac:dyDescent="0.25">
      <c r="A39" s="24" t="s">
        <v>65</v>
      </c>
      <c r="B39" s="25"/>
      <c r="C39" s="31">
        <f>C2+C8</f>
        <v>534780.81000000006</v>
      </c>
      <c r="D39" s="31">
        <f>D2+D8</f>
        <v>925595.36</v>
      </c>
      <c r="E39" s="31">
        <f>E2+E8</f>
        <v>1204820.54</v>
      </c>
      <c r="F39" s="42"/>
      <c r="G39" s="42"/>
      <c r="H39" s="42"/>
      <c r="I39" s="31">
        <f>I2+I8</f>
        <v>0</v>
      </c>
      <c r="J39" s="31">
        <f>J2+J8</f>
        <v>0</v>
      </c>
      <c r="K39" s="31">
        <f>K2+K8</f>
        <v>0</v>
      </c>
      <c r="L39" s="43"/>
      <c r="M39" s="31">
        <f>M2+M8</f>
        <v>0</v>
      </c>
      <c r="N39" s="31">
        <f>N2+N8</f>
        <v>0</v>
      </c>
      <c r="O39" s="31">
        <f>O2+O8</f>
        <v>0</v>
      </c>
      <c r="P39" s="42"/>
      <c r="Q39" s="31">
        <f>Q2+Q8</f>
        <v>0</v>
      </c>
      <c r="R39" s="31">
        <f>R35</f>
        <v>0</v>
      </c>
      <c r="S39" s="31">
        <f>S2+S8</f>
        <v>0</v>
      </c>
      <c r="T39" s="42"/>
    </row>
    <row r="40" spans="1:28" hidden="1" x14ac:dyDescent="0.25">
      <c r="A40" s="24" t="s">
        <v>80</v>
      </c>
      <c r="B40" s="35">
        <v>0.03</v>
      </c>
      <c r="C40" s="31">
        <f>C39*$B$40</f>
        <v>16043.424300000001</v>
      </c>
      <c r="D40" s="31">
        <f>D39*$B$40</f>
        <v>27767.860799999999</v>
      </c>
      <c r="E40" s="31">
        <f>E39*$B$40</f>
        <v>36144.616199999997</v>
      </c>
      <c r="F40" s="42"/>
      <c r="G40" s="42"/>
      <c r="H40" s="42"/>
      <c r="I40" s="31">
        <f>I39*$B$40</f>
        <v>0</v>
      </c>
      <c r="J40" s="31">
        <f>J39*$B$40</f>
        <v>0</v>
      </c>
      <c r="K40" s="31">
        <f>K39*$B$40</f>
        <v>0</v>
      </c>
      <c r="L40" s="43"/>
      <c r="M40" s="31">
        <f>M39*$B$40</f>
        <v>0</v>
      </c>
      <c r="N40" s="31">
        <f>N39*$B$40</f>
        <v>0</v>
      </c>
      <c r="O40" s="31">
        <f>O39*$B$40</f>
        <v>0</v>
      </c>
      <c r="P40" s="42"/>
      <c r="Q40" s="26">
        <f>Q39*$B$40</f>
        <v>0</v>
      </c>
      <c r="R40" s="31">
        <f>R39*$B$40</f>
        <v>0</v>
      </c>
      <c r="S40" s="31">
        <f>S39*$B$40</f>
        <v>0</v>
      </c>
      <c r="T40" s="42"/>
      <c r="X40" s="5"/>
      <c r="Y40" s="5"/>
      <c r="Z40" s="5"/>
      <c r="AA40" s="5"/>
      <c r="AB40" s="5"/>
    </row>
    <row r="41" spans="1:28" hidden="1" x14ac:dyDescent="0.25">
      <c r="A41" s="24" t="s">
        <v>67</v>
      </c>
      <c r="B41" s="25"/>
      <c r="C41" s="31"/>
      <c r="D41" s="31"/>
      <c r="E41" s="31"/>
      <c r="F41" s="42"/>
      <c r="G41" s="42"/>
      <c r="H41" s="42"/>
      <c r="I41" s="31"/>
      <c r="J41" s="31"/>
      <c r="K41" s="31"/>
      <c r="L41" s="43"/>
      <c r="M41" s="31"/>
      <c r="N41" s="31"/>
      <c r="O41" s="31">
        <v>0</v>
      </c>
      <c r="P41" s="42"/>
      <c r="Q41" s="31"/>
      <c r="R41" s="31"/>
      <c r="S41" s="31"/>
      <c r="T41" s="42"/>
    </row>
    <row r="42" spans="1:28" s="5" customFormat="1" hidden="1" x14ac:dyDescent="0.25">
      <c r="A42" s="32" t="s">
        <v>68</v>
      </c>
      <c r="B42" s="33"/>
      <c r="C42" s="29">
        <f>C40-C41</f>
        <v>16043.424300000001</v>
      </c>
      <c r="D42" s="29">
        <f>D40-D41</f>
        <v>27767.860799999999</v>
      </c>
      <c r="E42" s="29">
        <f>E40-E41</f>
        <v>36144.616199999997</v>
      </c>
      <c r="F42" s="29"/>
      <c r="G42" s="29"/>
      <c r="H42" s="29"/>
      <c r="I42" s="29">
        <f>I40-I41</f>
        <v>0</v>
      </c>
      <c r="J42" s="29">
        <f>J40-J41</f>
        <v>0</v>
      </c>
      <c r="K42" s="29">
        <f>K40-K41</f>
        <v>0</v>
      </c>
      <c r="L42" s="29"/>
      <c r="M42" s="29">
        <f>M40-M41</f>
        <v>0</v>
      </c>
      <c r="N42" s="29">
        <f>N40-N41</f>
        <v>0</v>
      </c>
      <c r="O42" s="29">
        <f>O40-O41</f>
        <v>0</v>
      </c>
      <c r="P42" s="29"/>
      <c r="Q42" s="29">
        <f>Q40-Q41</f>
        <v>0</v>
      </c>
      <c r="R42" s="29">
        <f>R40-R41</f>
        <v>0</v>
      </c>
      <c r="S42" s="29">
        <f>S40-S41</f>
        <v>0</v>
      </c>
      <c r="T42" s="29"/>
      <c r="X42"/>
      <c r="Y42"/>
      <c r="Z42"/>
      <c r="AA42"/>
      <c r="AB42"/>
    </row>
    <row r="44" spans="1:28" x14ac:dyDescent="0.25">
      <c r="C44" s="45"/>
      <c r="X44" s="45"/>
      <c r="Z44" s="45"/>
    </row>
    <row r="45" spans="1:28" x14ac:dyDescent="0.25">
      <c r="X45" s="45"/>
      <c r="Z45" s="45"/>
    </row>
    <row r="46" spans="1:28" x14ac:dyDescent="0.25">
      <c r="C46" s="45"/>
    </row>
  </sheetData>
  <mergeCells count="2">
    <mergeCell ref="Z2:Z3"/>
    <mergeCell ref="Z6:Z7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47"/>
  <sheetViews>
    <sheetView topLeftCell="C1" zoomScaleNormal="100" workbookViewId="0">
      <selection activeCell="AA9" sqref="AA9"/>
    </sheetView>
  </sheetViews>
  <sheetFormatPr defaultRowHeight="15" outlineLevelCol="1" x14ac:dyDescent="0.25"/>
  <cols>
    <col min="1" max="1" width="32.85546875" bestFit="1" customWidth="1"/>
    <col min="2" max="2" width="6.140625" style="19" customWidth="1"/>
    <col min="3" max="5" width="14.28515625" customWidth="1" outlineLevel="1"/>
    <col min="6" max="7" width="15.85546875" style="5" customWidth="1"/>
    <col min="8" max="8" width="17.7109375" style="5" bestFit="1" customWidth="1"/>
    <col min="9" max="11" width="14.28515625" hidden="1" customWidth="1" outlineLevel="1"/>
    <col min="12" max="12" width="15.85546875" style="30" customWidth="1" collapsed="1"/>
    <col min="13" max="13" width="15.85546875" hidden="1" customWidth="1" outlineLevel="1"/>
    <col min="14" max="14" width="15.85546875" style="20" hidden="1" customWidth="1" outlineLevel="1"/>
    <col min="15" max="15" width="15.85546875" hidden="1" customWidth="1" outlineLevel="1"/>
    <col min="16" max="16" width="16.85546875" style="5" customWidth="1" collapsed="1"/>
    <col min="17" max="17" width="16" hidden="1" customWidth="1" outlineLevel="1"/>
    <col min="18" max="18" width="15.7109375" hidden="1" customWidth="1" outlineLevel="1"/>
    <col min="19" max="19" width="20.42578125" hidden="1" customWidth="1" outlineLevel="1"/>
    <col min="20" max="20" width="15.85546875" style="5" customWidth="1" collapsed="1"/>
    <col min="21" max="21" width="15.28515625" customWidth="1"/>
    <col min="22" max="22" width="15.28515625" hidden="1" customWidth="1"/>
    <col min="23" max="23" width="8.7109375" customWidth="1"/>
    <col min="24" max="24" width="29.140625" bestFit="1" customWidth="1"/>
    <col min="25" max="25" width="15.85546875" bestFit="1" customWidth="1"/>
    <col min="26" max="26" width="19.5703125" bestFit="1" customWidth="1"/>
    <col min="27" max="27" width="17" bestFit="1" customWidth="1"/>
    <col min="28" max="28" width="18.5703125" bestFit="1" customWidth="1"/>
    <col min="29" max="1028" width="8.7109375" customWidth="1"/>
  </cols>
  <sheetData>
    <row r="1" spans="1:28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69</v>
      </c>
      <c r="G1" s="23" t="s">
        <v>93</v>
      </c>
      <c r="H1" s="23" t="s">
        <v>94</v>
      </c>
      <c r="I1" s="23" t="s">
        <v>38</v>
      </c>
      <c r="J1" s="23" t="s">
        <v>39</v>
      </c>
      <c r="K1" s="23" t="s">
        <v>40</v>
      </c>
      <c r="L1" s="36" t="s">
        <v>70</v>
      </c>
      <c r="M1" s="23" t="s">
        <v>41</v>
      </c>
      <c r="N1" s="23" t="s">
        <v>42</v>
      </c>
      <c r="O1" s="23" t="s">
        <v>43</v>
      </c>
      <c r="P1" s="23" t="s">
        <v>71</v>
      </c>
      <c r="Q1" s="23" t="s">
        <v>44</v>
      </c>
      <c r="R1" s="23" t="s">
        <v>45</v>
      </c>
      <c r="S1" s="23" t="s">
        <v>46</v>
      </c>
      <c r="T1" s="23" t="s">
        <v>72</v>
      </c>
      <c r="X1" s="47" t="s">
        <v>86</v>
      </c>
      <c r="Y1" s="48" t="s">
        <v>87</v>
      </c>
      <c r="Z1" s="48" t="s">
        <v>88</v>
      </c>
      <c r="AA1" s="48" t="s">
        <v>89</v>
      </c>
      <c r="AB1" s="53" t="s">
        <v>90</v>
      </c>
    </row>
    <row r="2" spans="1:28" x14ac:dyDescent="0.25">
      <c r="A2" s="24" t="s">
        <v>81</v>
      </c>
      <c r="B2" s="25"/>
      <c r="C2" s="26">
        <v>452786.14</v>
      </c>
      <c r="D2" s="26">
        <v>845962.7</v>
      </c>
      <c r="E2" s="26">
        <v>0</v>
      </c>
      <c r="F2" s="37">
        <f>SUM(C2:E2)</f>
        <v>1298748.8399999999</v>
      </c>
      <c r="G2" s="37">
        <f>AA13</f>
        <v>1111656.0810493096</v>
      </c>
      <c r="H2" s="37">
        <f>AA4</f>
        <v>187092.75895069039</v>
      </c>
      <c r="I2" s="26">
        <v>0</v>
      </c>
      <c r="J2" s="26">
        <v>0</v>
      </c>
      <c r="K2" s="26">
        <v>0</v>
      </c>
      <c r="L2" s="37">
        <f>SUM(I2:K2)</f>
        <v>0</v>
      </c>
      <c r="M2" s="37">
        <v>0</v>
      </c>
      <c r="N2" s="37">
        <v>0</v>
      </c>
      <c r="O2" s="37">
        <v>0</v>
      </c>
      <c r="P2" s="37">
        <f>SUM(M2:O2)</f>
        <v>0</v>
      </c>
      <c r="Q2" s="26">
        <v>0</v>
      </c>
      <c r="R2" s="26">
        <v>0</v>
      </c>
      <c r="S2" s="26">
        <v>0</v>
      </c>
      <c r="T2" s="37">
        <f>SUM(Q2:S2)</f>
        <v>0</v>
      </c>
      <c r="X2" s="61"/>
      <c r="Y2" s="58">
        <f>SUM(C2,D2,C8,D8,E2,E8)</f>
        <v>1460376.1699999997</v>
      </c>
      <c r="Z2" s="77">
        <f>Y3/Y2</f>
        <v>0.88932486483944762</v>
      </c>
      <c r="AA2" s="59"/>
      <c r="AB2" s="62"/>
    </row>
    <row r="3" spans="1:28" x14ac:dyDescent="0.25">
      <c r="A3" s="24" t="s">
        <v>83</v>
      </c>
      <c r="B3" s="25"/>
      <c r="C3" s="26">
        <v>0</v>
      </c>
      <c r="D3" s="26">
        <v>0</v>
      </c>
      <c r="E3" s="26">
        <v>0</v>
      </c>
      <c r="F3" s="37">
        <f>SUM(C3:E3)</f>
        <v>0</v>
      </c>
      <c r="G3" s="37">
        <f>SUM(C3,D3,E3)*Z2</f>
        <v>0</v>
      </c>
      <c r="H3" s="37">
        <f>F3-G3</f>
        <v>0</v>
      </c>
      <c r="I3" s="26">
        <v>0</v>
      </c>
      <c r="J3" s="26">
        <v>0</v>
      </c>
      <c r="K3" s="26">
        <v>0</v>
      </c>
      <c r="L3" s="37">
        <f>SUM(I3:K3)</f>
        <v>0</v>
      </c>
      <c r="M3" s="37">
        <v>0</v>
      </c>
      <c r="N3" s="37">
        <v>0</v>
      </c>
      <c r="O3" s="37">
        <v>0</v>
      </c>
      <c r="P3" s="37">
        <f>SUM(M3:O3)</f>
        <v>0</v>
      </c>
      <c r="Q3" s="26">
        <v>0</v>
      </c>
      <c r="R3" s="26">
        <v>0</v>
      </c>
      <c r="S3" s="26">
        <v>0</v>
      </c>
      <c r="T3" s="37">
        <f>SUM(Q3:S3)</f>
        <v>0</v>
      </c>
      <c r="X3" s="61" t="s">
        <v>91</v>
      </c>
      <c r="Y3" s="58">
        <f>F2</f>
        <v>1298748.8399999999</v>
      </c>
      <c r="Z3" s="77"/>
      <c r="AA3" s="59">
        <f>Y2-AA8</f>
        <v>210376.16999999969</v>
      </c>
      <c r="AB3" s="63" t="s">
        <v>96</v>
      </c>
    </row>
    <row r="4" spans="1:28" x14ac:dyDescent="0.25">
      <c r="A4" s="24" t="s">
        <v>4</v>
      </c>
      <c r="B4" s="25"/>
      <c r="C4" s="26">
        <v>34559.440000000002</v>
      </c>
      <c r="D4" s="26">
        <v>58611.9</v>
      </c>
      <c r="E4" s="26">
        <v>0</v>
      </c>
      <c r="F4" s="37">
        <f t="shared" ref="F4:F6" si="0">SUM(C4:E4)</f>
        <v>93171.34</v>
      </c>
      <c r="G4" s="37">
        <f>SUM(C4,D4,E4)*Z2</f>
        <v>82859.589352410214</v>
      </c>
      <c r="H4" s="37">
        <f>F4-G4</f>
        <v>10311.750647589783</v>
      </c>
      <c r="I4" s="26">
        <v>0</v>
      </c>
      <c r="J4" s="26">
        <v>0</v>
      </c>
      <c r="K4" s="26">
        <v>0</v>
      </c>
      <c r="L4" s="37">
        <f t="shared" ref="L4:L6" si="1">SUM(I4:K4)</f>
        <v>0</v>
      </c>
      <c r="M4" s="37">
        <v>0</v>
      </c>
      <c r="N4" s="37">
        <v>0</v>
      </c>
      <c r="O4" s="37">
        <v>0</v>
      </c>
      <c r="P4" s="37">
        <f t="shared" ref="P4:P6" si="2">SUM(M4:O4)</f>
        <v>0</v>
      </c>
      <c r="Q4" s="26">
        <v>0</v>
      </c>
      <c r="R4" s="26">
        <v>0</v>
      </c>
      <c r="S4" s="26">
        <v>0</v>
      </c>
      <c r="T4" s="37">
        <f t="shared" ref="T4:T6" si="3">SUM(Q4:S4)</f>
        <v>0</v>
      </c>
      <c r="V4" s="45"/>
      <c r="X4" s="61"/>
      <c r="Y4" s="18"/>
      <c r="Z4" s="8"/>
      <c r="AA4" s="60">
        <f>AA3*Z2</f>
        <v>187092.75895069039</v>
      </c>
      <c r="AB4" s="64">
        <f>AA4*8.8%</f>
        <v>16464.162787660756</v>
      </c>
    </row>
    <row r="5" spans="1:28" x14ac:dyDescent="0.25">
      <c r="A5" s="24" t="s">
        <v>82</v>
      </c>
      <c r="B5" s="25"/>
      <c r="C5" s="26">
        <v>74261.87</v>
      </c>
      <c r="D5" s="26">
        <v>137738.53</v>
      </c>
      <c r="E5" s="26">
        <v>0</v>
      </c>
      <c r="F5" s="37">
        <f t="shared" si="0"/>
        <v>212000.4</v>
      </c>
      <c r="G5" s="37">
        <f>SUM(C5,D5,E5)*Z2</f>
        <v>188537.22707590883</v>
      </c>
      <c r="H5" s="37">
        <f>F5-G5</f>
        <v>23463.172924091166</v>
      </c>
      <c r="I5" s="26">
        <v>0</v>
      </c>
      <c r="J5" s="26">
        <v>0</v>
      </c>
      <c r="K5" s="26">
        <v>0</v>
      </c>
      <c r="L5" s="37">
        <f t="shared" si="1"/>
        <v>0</v>
      </c>
      <c r="M5" s="37">
        <v>0</v>
      </c>
      <c r="N5" s="37">
        <v>0</v>
      </c>
      <c r="O5" s="37">
        <v>0</v>
      </c>
      <c r="P5" s="37">
        <f t="shared" si="2"/>
        <v>0</v>
      </c>
      <c r="Q5" s="26">
        <v>0</v>
      </c>
      <c r="R5" s="26">
        <v>0</v>
      </c>
      <c r="S5" s="26">
        <v>0</v>
      </c>
      <c r="T5" s="37">
        <f t="shared" si="3"/>
        <v>0</v>
      </c>
      <c r="V5" s="45"/>
      <c r="X5" s="49"/>
      <c r="Z5" s="54"/>
      <c r="AA5" s="45"/>
      <c r="AB5" s="50"/>
    </row>
    <row r="6" spans="1:28" x14ac:dyDescent="0.25">
      <c r="A6" s="24" t="s">
        <v>84</v>
      </c>
      <c r="B6" s="25"/>
      <c r="C6" s="26">
        <v>0</v>
      </c>
      <c r="D6" s="26">
        <v>0</v>
      </c>
      <c r="E6" s="26">
        <v>0</v>
      </c>
      <c r="F6" s="37">
        <f t="shared" si="0"/>
        <v>0</v>
      </c>
      <c r="G6" s="37">
        <f>SUM(C6,D6,E6)*Z2</f>
        <v>0</v>
      </c>
      <c r="H6" s="37">
        <f>F6-G6</f>
        <v>0</v>
      </c>
      <c r="I6" s="26">
        <v>0</v>
      </c>
      <c r="J6" s="26">
        <v>0</v>
      </c>
      <c r="K6" s="26">
        <v>0</v>
      </c>
      <c r="L6" s="37">
        <f t="shared" si="1"/>
        <v>0</v>
      </c>
      <c r="M6" s="37">
        <v>0</v>
      </c>
      <c r="N6" s="37">
        <v>0</v>
      </c>
      <c r="O6" s="37">
        <v>0</v>
      </c>
      <c r="P6" s="37">
        <f t="shared" si="2"/>
        <v>0</v>
      </c>
      <c r="Q6" s="26">
        <v>0</v>
      </c>
      <c r="R6" s="26">
        <v>0</v>
      </c>
      <c r="S6" s="26">
        <v>0</v>
      </c>
      <c r="T6" s="37">
        <f t="shared" si="3"/>
        <v>0</v>
      </c>
      <c r="X6" s="65" t="s">
        <v>97</v>
      </c>
      <c r="Y6" s="73">
        <v>8.7999999999999995E-2</v>
      </c>
      <c r="Z6" s="8"/>
      <c r="AA6" s="59"/>
      <c r="AB6" s="62"/>
    </row>
    <row r="7" spans="1:28" x14ac:dyDescent="0.25">
      <c r="A7" s="24" t="s">
        <v>75</v>
      </c>
      <c r="B7" s="25">
        <v>0.08</v>
      </c>
      <c r="C7" s="26">
        <f>(C2-C3-C4-C5+C6)*$B$7</f>
        <v>27517.186400000002</v>
      </c>
      <c r="D7" s="26">
        <f>(D2-D3-D4-D5+D6)*$B$7</f>
        <v>51968.981599999992</v>
      </c>
      <c r="E7" s="26">
        <f>(E2-E3-E4-E5+E6)*$B$7</f>
        <v>0</v>
      </c>
      <c r="F7" s="37">
        <f>(F2-F3-F4-F5+F6)*$B$7</f>
        <v>79486.167999999976</v>
      </c>
      <c r="G7" s="37">
        <f>(G2-G3-G4-G5+G6)*$B$7</f>
        <v>67220.741169679255</v>
      </c>
      <c r="H7" s="37">
        <f>(H2-H3-H4-H5+H6)*$Y$6</f>
        <v>13491.969513352829</v>
      </c>
      <c r="I7" s="26">
        <f t="shared" ref="I7:K7" si="4">(I2-I3-I4-I5+I6)*$B$7</f>
        <v>0</v>
      </c>
      <c r="J7" s="26">
        <f t="shared" si="4"/>
        <v>0</v>
      </c>
      <c r="K7" s="26">
        <f t="shared" si="4"/>
        <v>0</v>
      </c>
      <c r="L7" s="37">
        <f>(L2-L3-L4-L5+L6)*$B$7</f>
        <v>0</v>
      </c>
      <c r="M7" s="26">
        <f>(M2-M3-M4-M5+M6)*$B$7</f>
        <v>0</v>
      </c>
      <c r="N7" s="26">
        <f t="shared" ref="N7:O7" si="5">(N2-N3-N4-N5+N6)*$B$7</f>
        <v>0</v>
      </c>
      <c r="O7" s="26">
        <f t="shared" si="5"/>
        <v>0</v>
      </c>
      <c r="P7" s="37">
        <f>(P2-P3-P4-P5+P6)*$B$7</f>
        <v>0</v>
      </c>
      <c r="Q7" s="26">
        <f t="shared" ref="Q7:S7" si="6">(Q2-Q3-Q4-Q5+Q6)*$B$7</f>
        <v>0</v>
      </c>
      <c r="R7" s="26">
        <f t="shared" si="6"/>
        <v>0</v>
      </c>
      <c r="S7" s="26">
        <f t="shared" si="6"/>
        <v>0</v>
      </c>
      <c r="T7" s="37">
        <f>(T2-T3-T4-T5+T6)*$B$7</f>
        <v>0</v>
      </c>
      <c r="X7" s="65" t="s">
        <v>75</v>
      </c>
      <c r="Y7" s="73">
        <v>0.35199999999999998</v>
      </c>
      <c r="Z7" s="8"/>
      <c r="AA7" s="18"/>
      <c r="AB7" s="62"/>
    </row>
    <row r="8" spans="1:28" x14ac:dyDescent="0.25">
      <c r="A8" s="24" t="s">
        <v>51</v>
      </c>
      <c r="B8" s="25"/>
      <c r="C8" s="26">
        <v>81994.67</v>
      </c>
      <c r="D8" s="26">
        <v>79632.66</v>
      </c>
      <c r="E8" s="26">
        <v>0</v>
      </c>
      <c r="F8" s="37">
        <f>SUM(C8:E8)</f>
        <v>161627.33000000002</v>
      </c>
      <c r="G8" s="37">
        <v>138343.92000000001</v>
      </c>
      <c r="H8" s="37">
        <f>AA10</f>
        <v>23283.411049309343</v>
      </c>
      <c r="I8" s="26">
        <v>0</v>
      </c>
      <c r="J8" s="26">
        <v>0</v>
      </c>
      <c r="K8" s="26">
        <v>0</v>
      </c>
      <c r="L8" s="37">
        <f>SUM(I8:K8)</f>
        <v>0</v>
      </c>
      <c r="M8" s="37">
        <v>0</v>
      </c>
      <c r="N8" s="37">
        <v>0</v>
      </c>
      <c r="O8" s="37">
        <v>0</v>
      </c>
      <c r="P8" s="37">
        <f>SUM(M8:O8)</f>
        <v>0</v>
      </c>
      <c r="Q8" s="26">
        <v>0</v>
      </c>
      <c r="R8" s="26">
        <v>0</v>
      </c>
      <c r="S8" s="26">
        <v>0</v>
      </c>
      <c r="T8" s="37">
        <f>SUM(Q8:S8)</f>
        <v>0</v>
      </c>
      <c r="V8" s="45"/>
      <c r="X8" s="61" t="s">
        <v>92</v>
      </c>
      <c r="Y8" s="58">
        <f>F8</f>
        <v>161627.33000000002</v>
      </c>
      <c r="Z8" s="77">
        <f>Y8/Y2</f>
        <v>0.11067513516055254</v>
      </c>
      <c r="AA8" s="60">
        <v>1250000</v>
      </c>
      <c r="AB8" s="63" t="s">
        <v>96</v>
      </c>
    </row>
    <row r="9" spans="1:28" x14ac:dyDescent="0.25">
      <c r="A9" s="24" t="s">
        <v>85</v>
      </c>
      <c r="B9" s="25"/>
      <c r="C9" s="26">
        <v>1770.93</v>
      </c>
      <c r="D9" s="26">
        <v>1652.83</v>
      </c>
      <c r="E9" s="26">
        <v>0</v>
      </c>
      <c r="F9" s="37">
        <f>SUM(C9:E9)</f>
        <v>3423.76</v>
      </c>
      <c r="G9" s="37">
        <f>SUM(C9,D9,E9)*Z23</f>
        <v>3044.8348992427073</v>
      </c>
      <c r="H9" s="37">
        <f>F9-G9</f>
        <v>378.92510075729297</v>
      </c>
      <c r="I9" s="26">
        <v>0</v>
      </c>
      <c r="J9" s="26">
        <v>0</v>
      </c>
      <c r="K9" s="26">
        <v>0</v>
      </c>
      <c r="L9" s="37">
        <f>SUM(I9:K9)</f>
        <v>0</v>
      </c>
      <c r="M9" s="37">
        <v>0</v>
      </c>
      <c r="N9" s="37">
        <v>0</v>
      </c>
      <c r="O9" s="37">
        <v>0</v>
      </c>
      <c r="P9" s="37">
        <f>SUM(M9:O9)</f>
        <v>0</v>
      </c>
      <c r="Q9" s="26">
        <v>0</v>
      </c>
      <c r="R9" s="26">
        <v>0</v>
      </c>
      <c r="S9" s="26">
        <v>0</v>
      </c>
      <c r="T9" s="37">
        <f>SUM(Q9:S9)</f>
        <v>0</v>
      </c>
      <c r="V9" s="45"/>
      <c r="X9" s="61"/>
      <c r="Y9" s="18"/>
      <c r="Z9" s="77"/>
      <c r="AA9" s="59">
        <f>Y2-AA8</f>
        <v>210376.16999999969</v>
      </c>
      <c r="AB9" s="64">
        <f>AA10*35.2%</f>
        <v>8195.76068935689</v>
      </c>
    </row>
    <row r="10" spans="1:28" x14ac:dyDescent="0.25">
      <c r="A10" s="24" t="s">
        <v>75</v>
      </c>
      <c r="B10" s="25">
        <v>0.32</v>
      </c>
      <c r="C10" s="26">
        <f>(C8-C9)*$B$10</f>
        <v>25671.596800000003</v>
      </c>
      <c r="D10" s="26">
        <f>(D8-D9)*$B$10</f>
        <v>24953.545600000001</v>
      </c>
      <c r="E10" s="26">
        <f>(E8-E9)*$B$10</f>
        <v>0</v>
      </c>
      <c r="F10" s="37">
        <f>(F8-F9)*$B$10</f>
        <v>50625.142400000004</v>
      </c>
      <c r="G10" s="37">
        <f>(G8-G9)*$B$10</f>
        <v>43295.707232242341</v>
      </c>
      <c r="H10" s="37">
        <f>(H8-H9)*$Y$28</f>
        <v>8062.3790538903213</v>
      </c>
      <c r="I10" s="26">
        <f t="shared" ref="I10:K10" si="7">(I8-I9)*$B$10</f>
        <v>0</v>
      </c>
      <c r="J10" s="26">
        <f t="shared" si="7"/>
        <v>0</v>
      </c>
      <c r="K10" s="26">
        <f t="shared" si="7"/>
        <v>0</v>
      </c>
      <c r="L10" s="37">
        <f>(L8-L9)*$B$10</f>
        <v>0</v>
      </c>
      <c r="M10" s="37">
        <f>(M8-M9)*$B$10</f>
        <v>0</v>
      </c>
      <c r="N10" s="37">
        <f t="shared" ref="N10:O10" si="8">(N8-N9)*$B$10</f>
        <v>0</v>
      </c>
      <c r="O10" s="37">
        <f t="shared" si="8"/>
        <v>0</v>
      </c>
      <c r="P10" s="37">
        <f>(P8-P9)*$B$10</f>
        <v>0</v>
      </c>
      <c r="Q10" s="26">
        <f t="shared" ref="Q10:S10" si="9">(Q8-Q9)*$B$10</f>
        <v>0</v>
      </c>
      <c r="R10" s="26">
        <f t="shared" si="9"/>
        <v>0</v>
      </c>
      <c r="S10" s="26">
        <f t="shared" si="9"/>
        <v>0</v>
      </c>
      <c r="T10" s="37">
        <f>(T8-T9)*$B$10</f>
        <v>0</v>
      </c>
      <c r="X10" s="61"/>
      <c r="Y10" s="18"/>
      <c r="Z10" s="8"/>
      <c r="AA10" s="59">
        <f>AA9*Z8</f>
        <v>23283.411049309343</v>
      </c>
      <c r="AB10" s="62"/>
    </row>
    <row r="11" spans="1:28" x14ac:dyDescent="0.25">
      <c r="A11" s="24" t="s">
        <v>52</v>
      </c>
      <c r="B11" s="25"/>
      <c r="C11" s="26">
        <f t="shared" ref="C11:H11" si="10">C7+C10</f>
        <v>53188.783200000005</v>
      </c>
      <c r="D11" s="26">
        <f t="shared" si="10"/>
        <v>76922.527199999997</v>
      </c>
      <c r="E11" s="26">
        <f t="shared" si="10"/>
        <v>0</v>
      </c>
      <c r="F11" s="37">
        <f t="shared" si="10"/>
        <v>130111.31039999999</v>
      </c>
      <c r="G11" s="74">
        <f t="shared" si="10"/>
        <v>110516.4484019216</v>
      </c>
      <c r="H11" s="74">
        <f t="shared" si="10"/>
        <v>21554.348567243149</v>
      </c>
      <c r="I11" s="26">
        <f t="shared" ref="I11:S11" si="11">I7+I10</f>
        <v>0</v>
      </c>
      <c r="J11" s="26">
        <f t="shared" si="11"/>
        <v>0</v>
      </c>
      <c r="K11" s="26">
        <f t="shared" si="11"/>
        <v>0</v>
      </c>
      <c r="L11" s="37">
        <f>L7+L10</f>
        <v>0</v>
      </c>
      <c r="M11" s="37">
        <f t="shared" si="11"/>
        <v>0</v>
      </c>
      <c r="N11" s="37">
        <f t="shared" si="11"/>
        <v>0</v>
      </c>
      <c r="O11" s="37">
        <f t="shared" si="11"/>
        <v>0</v>
      </c>
      <c r="P11" s="37">
        <f>P7+P10</f>
        <v>0</v>
      </c>
      <c r="Q11" s="26">
        <f t="shared" si="11"/>
        <v>0</v>
      </c>
      <c r="R11" s="26">
        <f t="shared" si="11"/>
        <v>0</v>
      </c>
      <c r="S11" s="26">
        <f t="shared" si="11"/>
        <v>0</v>
      </c>
      <c r="T11" s="37">
        <f>T7+T10</f>
        <v>0</v>
      </c>
      <c r="X11" s="51"/>
      <c r="Y11" s="55"/>
      <c r="Z11" s="56"/>
      <c r="AA11" s="57"/>
      <c r="AB11" s="52"/>
    </row>
    <row r="12" spans="1:28" x14ac:dyDescent="0.25">
      <c r="A12" s="24" t="s">
        <v>76</v>
      </c>
      <c r="B12" s="25"/>
      <c r="C12" s="26">
        <v>842361.53</v>
      </c>
      <c r="D12" s="26">
        <v>103307.87</v>
      </c>
      <c r="E12" s="26">
        <v>0</v>
      </c>
      <c r="F12" s="37">
        <f>SUM(C12:E12)</f>
        <v>945669.4</v>
      </c>
      <c r="G12" s="74">
        <f>SUM(C12,D12,E12)*Z2</f>
        <v>841007.31133780151</v>
      </c>
      <c r="H12" s="74">
        <f>F12-G12</f>
        <v>104662.08866219851</v>
      </c>
      <c r="I12" s="26">
        <v>0</v>
      </c>
      <c r="J12" s="26">
        <v>0</v>
      </c>
      <c r="K12" s="26">
        <v>0</v>
      </c>
      <c r="L12" s="46">
        <f>SUM(I12:K12)</f>
        <v>0</v>
      </c>
      <c r="M12" s="26">
        <v>0</v>
      </c>
      <c r="N12" s="26">
        <v>0</v>
      </c>
      <c r="O12" s="26">
        <v>0</v>
      </c>
      <c r="P12" s="43">
        <f>SUM(M12:O12)</f>
        <v>0</v>
      </c>
      <c r="Q12" s="26">
        <v>0</v>
      </c>
      <c r="R12" s="26">
        <v>0</v>
      </c>
      <c r="S12" s="26">
        <v>0</v>
      </c>
      <c r="T12" s="43">
        <f>SUM(Q12:S12)</f>
        <v>0</v>
      </c>
      <c r="X12" s="66"/>
      <c r="Y12" s="18"/>
      <c r="Z12" s="8"/>
      <c r="AA12" s="59"/>
      <c r="AB12" s="67" t="s">
        <v>95</v>
      </c>
    </row>
    <row r="13" spans="1:28" x14ac:dyDescent="0.25">
      <c r="A13" s="24" t="s">
        <v>77</v>
      </c>
      <c r="B13" s="25"/>
      <c r="C13" s="26">
        <f>C11+C12</f>
        <v>895550.31319999998</v>
      </c>
      <c r="D13" s="26">
        <f>D11+D12</f>
        <v>180230.39720000001</v>
      </c>
      <c r="E13" s="26">
        <f>E11+E12</f>
        <v>0</v>
      </c>
      <c r="F13" s="37">
        <f>SUM(F11:F12)</f>
        <v>1075780.7104</v>
      </c>
      <c r="G13" s="37">
        <f>SUM(G11:G12)</f>
        <v>951523.75973972306</v>
      </c>
      <c r="H13" s="37">
        <f>SUM(H11:H12)</f>
        <v>126216.43722944165</v>
      </c>
      <c r="I13" s="26">
        <f t="shared" ref="I13:K13" si="12">I11+I12</f>
        <v>0</v>
      </c>
      <c r="J13" s="26">
        <f t="shared" si="12"/>
        <v>0</v>
      </c>
      <c r="K13" s="26">
        <f t="shared" si="12"/>
        <v>0</v>
      </c>
      <c r="L13" s="37">
        <f>SUM(L11:L12)</f>
        <v>0</v>
      </c>
      <c r="M13" s="37">
        <f t="shared" ref="M13:O13" si="13">M11+M12</f>
        <v>0</v>
      </c>
      <c r="N13" s="37">
        <f t="shared" si="13"/>
        <v>0</v>
      </c>
      <c r="O13" s="37">
        <f t="shared" si="13"/>
        <v>0</v>
      </c>
      <c r="P13" s="37">
        <f>SUM(P11:P12)</f>
        <v>0</v>
      </c>
      <c r="Q13" s="26">
        <f t="shared" ref="Q13:S13" si="14">Q11+Q12</f>
        <v>0</v>
      </c>
      <c r="R13" s="26">
        <f t="shared" si="14"/>
        <v>0</v>
      </c>
      <c r="S13" s="26">
        <f t="shared" si="14"/>
        <v>0</v>
      </c>
      <c r="T13" s="37">
        <f>SUM(T11:T12)</f>
        <v>0</v>
      </c>
      <c r="X13" s="61" t="s">
        <v>91</v>
      </c>
      <c r="Y13" s="18"/>
      <c r="Z13" s="8"/>
      <c r="AA13" s="59">
        <f>Y3-AA4</f>
        <v>1111656.0810493096</v>
      </c>
      <c r="AB13" s="64">
        <f>AA13*8%</f>
        <v>88932.486483944769</v>
      </c>
    </row>
    <row r="14" spans="1:28" ht="15.75" thickBot="1" x14ac:dyDescent="0.3">
      <c r="A14" s="24" t="s">
        <v>19</v>
      </c>
      <c r="B14" s="25">
        <v>0.15</v>
      </c>
      <c r="C14" s="26">
        <f t="shared" ref="C14:H14" si="15">C13*$B$14</f>
        <v>134332.54697999998</v>
      </c>
      <c r="D14" s="26">
        <f t="shared" si="15"/>
        <v>27034.559580000001</v>
      </c>
      <c r="E14" s="26">
        <f t="shared" si="15"/>
        <v>0</v>
      </c>
      <c r="F14" s="37">
        <f t="shared" si="15"/>
        <v>161367.10655999999</v>
      </c>
      <c r="G14" s="37">
        <f t="shared" si="15"/>
        <v>142728.56396095845</v>
      </c>
      <c r="H14" s="37">
        <f t="shared" si="15"/>
        <v>18932.465584416248</v>
      </c>
      <c r="I14" s="26">
        <f t="shared" ref="I14:S14" si="16">I13*$B$14</f>
        <v>0</v>
      </c>
      <c r="J14" s="26">
        <f t="shared" si="16"/>
        <v>0</v>
      </c>
      <c r="K14" s="26">
        <f t="shared" si="16"/>
        <v>0</v>
      </c>
      <c r="L14" s="37">
        <f>L13*$B$14</f>
        <v>0</v>
      </c>
      <c r="M14" s="37">
        <f t="shared" si="16"/>
        <v>0</v>
      </c>
      <c r="N14" s="37">
        <f t="shared" si="16"/>
        <v>0</v>
      </c>
      <c r="O14" s="37">
        <f t="shared" si="16"/>
        <v>0</v>
      </c>
      <c r="P14" s="37">
        <f>P13*$B$14</f>
        <v>0</v>
      </c>
      <c r="Q14" s="26">
        <f t="shared" si="16"/>
        <v>0</v>
      </c>
      <c r="R14" s="26">
        <f t="shared" si="16"/>
        <v>0</v>
      </c>
      <c r="S14" s="26">
        <f t="shared" si="16"/>
        <v>0</v>
      </c>
      <c r="T14" s="37">
        <f>T13*$B$14</f>
        <v>0</v>
      </c>
      <c r="X14" s="68" t="s">
        <v>92</v>
      </c>
      <c r="Y14" s="69"/>
      <c r="Z14" s="70"/>
      <c r="AA14" s="71">
        <f>AA9-Y8</f>
        <v>48748.839999999676</v>
      </c>
      <c r="AB14" s="72">
        <f>AA14*32%</f>
        <v>15599.628799999897</v>
      </c>
    </row>
    <row r="15" spans="1:28" x14ac:dyDescent="0.25">
      <c r="A15" s="24" t="s">
        <v>55</v>
      </c>
      <c r="B15" s="25"/>
      <c r="C15" s="26">
        <f>IF(C13&gt;20000,(C13-20000)*0.1," ")</f>
        <v>87555.031320000009</v>
      </c>
      <c r="D15" s="26">
        <f>IF(D13&gt;20000,(D13-20000)*0.1," ")</f>
        <v>16023.039720000001</v>
      </c>
      <c r="E15" s="26" t="str">
        <f>IF(E13&gt;20000,(E13-20000)*0.1," ")</f>
        <v xml:space="preserve"> </v>
      </c>
      <c r="F15" s="37">
        <f>IF(F13&gt;60000,(F13-60000)*0.1," ")</f>
        <v>101578.07104000001</v>
      </c>
      <c r="G15" s="37">
        <f>IF(G13&gt;60000,(G13-60000)*0.1," ")</f>
        <v>89152.375973972317</v>
      </c>
      <c r="H15" s="37">
        <f>IF(H13&gt;60000,(H13-60000)*0.1," ")</f>
        <v>6621.6437229441653</v>
      </c>
      <c r="I15" s="26" t="str">
        <f t="shared" ref="I15:K15" si="17">IF(I13&gt;20000,(I13-20000)*0.1," ")</f>
        <v xml:space="preserve"> </v>
      </c>
      <c r="J15" s="26" t="str">
        <f t="shared" si="17"/>
        <v xml:space="preserve"> </v>
      </c>
      <c r="K15" s="26" t="str">
        <f t="shared" si="17"/>
        <v xml:space="preserve"> </v>
      </c>
      <c r="L15" s="37" t="str">
        <f>IF(L13&gt;60000,(L13-60000)*0.1," ")</f>
        <v xml:space="preserve"> </v>
      </c>
      <c r="M15" s="26" t="str">
        <f t="shared" ref="M15:O15" si="18">IF(M13&gt;20000,(M13-20000)*0.1," ")</f>
        <v xml:space="preserve"> </v>
      </c>
      <c r="N15" s="26" t="str">
        <f t="shared" si="18"/>
        <v xml:space="preserve"> </v>
      </c>
      <c r="O15" s="26" t="str">
        <f t="shared" si="18"/>
        <v xml:space="preserve"> </v>
      </c>
      <c r="P15" s="37" t="str">
        <f>IF(P13&gt;60000,(P13-60000)*0.1," ")</f>
        <v xml:space="preserve"> </v>
      </c>
      <c r="Q15" s="26" t="str">
        <f t="shared" ref="Q15:S15" si="19">IF(Q13&gt;20000,(Q13-20000)*0.1," ")</f>
        <v xml:space="preserve"> </v>
      </c>
      <c r="R15" s="26" t="str">
        <f t="shared" si="19"/>
        <v xml:space="preserve"> </v>
      </c>
      <c r="S15" s="26" t="str">
        <f t="shared" si="19"/>
        <v xml:space="preserve"> </v>
      </c>
      <c r="T15" s="37" t="str">
        <f>IF(T13&gt;60000,(T13-60000)*0.1," ")</f>
        <v xml:space="preserve"> </v>
      </c>
    </row>
    <row r="16" spans="1:28" x14ac:dyDescent="0.25">
      <c r="A16" s="24" t="s">
        <v>56</v>
      </c>
      <c r="B16" s="25"/>
      <c r="C16" s="26">
        <v>1166.27</v>
      </c>
      <c r="D16" s="26">
        <f>3515.22+13.13+345.6+187.2+308.8+322.8</f>
        <v>4692.75</v>
      </c>
      <c r="E16" s="26">
        <v>0</v>
      </c>
      <c r="F16" s="37">
        <f>SUM(C16:E16)</f>
        <v>5859.02</v>
      </c>
      <c r="G16" s="37">
        <f>SUM(C16,D16,E16)*Z23</f>
        <v>5210.5721695916209</v>
      </c>
      <c r="H16" s="37">
        <f>F16-G16</f>
        <v>648.44783040837956</v>
      </c>
      <c r="I16" s="26">
        <v>0</v>
      </c>
      <c r="J16" s="26">
        <v>0</v>
      </c>
      <c r="K16" s="26">
        <v>0</v>
      </c>
      <c r="L16" s="37">
        <f>SUM(I16:K16)</f>
        <v>0</v>
      </c>
      <c r="M16" s="26">
        <v>0</v>
      </c>
      <c r="N16" s="26">
        <v>0</v>
      </c>
      <c r="O16" s="26">
        <v>0</v>
      </c>
      <c r="P16" s="43">
        <f>SUM(M16:O16)</f>
        <v>0</v>
      </c>
      <c r="Q16" s="26">
        <v>0</v>
      </c>
      <c r="R16" s="26">
        <v>0</v>
      </c>
      <c r="S16" s="26">
        <v>0</v>
      </c>
      <c r="T16" s="37">
        <f>SUM(Q16:S16)</f>
        <v>0</v>
      </c>
    </row>
    <row r="17" spans="1:28" s="30" customFormat="1" x14ac:dyDescent="0.25">
      <c r="A17" s="28" t="s">
        <v>57</v>
      </c>
      <c r="B17" s="29"/>
      <c r="C17" s="29">
        <f>SUM(C14:C15)-C16</f>
        <v>220721.3083</v>
      </c>
      <c r="D17" s="29">
        <f>SUM(D14:D15)-D16</f>
        <v>38364.849300000002</v>
      </c>
      <c r="E17" s="29">
        <f>SUM(E14:E15)-E16</f>
        <v>0</v>
      </c>
      <c r="F17" s="29">
        <f t="shared" ref="F17" si="20">SUM(F14:F15)-F16</f>
        <v>257086.15760000001</v>
      </c>
      <c r="G17" s="29">
        <f t="shared" ref="G17:H17" si="21">SUM(G14:G15)-G16</f>
        <v>226670.36776533915</v>
      </c>
      <c r="H17" s="29">
        <f t="shared" si="21"/>
        <v>24905.661476952035</v>
      </c>
      <c r="I17" s="29">
        <f t="shared" ref="I17:S17" si="22">SUM(I14:I15)-I16</f>
        <v>0</v>
      </c>
      <c r="J17" s="29">
        <f t="shared" si="22"/>
        <v>0</v>
      </c>
      <c r="K17" s="29">
        <f>SUM(K14:K15)-K16</f>
        <v>0</v>
      </c>
      <c r="L17" s="29">
        <f>SUM(L14:L15)-L16</f>
        <v>0</v>
      </c>
      <c r="M17" s="29">
        <f t="shared" si="22"/>
        <v>0</v>
      </c>
      <c r="N17" s="29">
        <f t="shared" si="22"/>
        <v>0</v>
      </c>
      <c r="O17" s="29">
        <f t="shared" si="22"/>
        <v>0</v>
      </c>
      <c r="P17" s="29">
        <f t="shared" ref="P17" si="23">SUM(P14:P15)-P16</f>
        <v>0</v>
      </c>
      <c r="Q17" s="29">
        <f t="shared" si="22"/>
        <v>0</v>
      </c>
      <c r="R17" s="29">
        <f>SUM(R14:R15)-R16</f>
        <v>0</v>
      </c>
      <c r="S17" s="29">
        <f t="shared" si="22"/>
        <v>0</v>
      </c>
      <c r="T17" s="29">
        <f>SUM(T14:T15)-T16</f>
        <v>0</v>
      </c>
      <c r="U17" s="30">
        <f>SUM(T17,P17,L17,F17)</f>
        <v>257086.15760000001</v>
      </c>
    </row>
    <row r="18" spans="1:28" s="41" customFormat="1" x14ac:dyDescent="0.25">
      <c r="A18" s="38" t="s">
        <v>73</v>
      </c>
      <c r="B18" s="39"/>
      <c r="C18" s="39"/>
      <c r="D18" s="39"/>
      <c r="E18" s="39"/>
      <c r="F18" s="40"/>
      <c r="G18" s="40"/>
      <c r="H18" s="40"/>
      <c r="I18" s="39"/>
      <c r="J18" s="39"/>
      <c r="K18" s="39"/>
      <c r="L18" s="40"/>
      <c r="M18" s="39"/>
      <c r="N18" s="39"/>
      <c r="O18" s="39"/>
      <c r="P18" s="40"/>
      <c r="Q18" s="39"/>
      <c r="R18" s="39"/>
      <c r="S18" s="39"/>
      <c r="T18" s="40"/>
      <c r="U18" s="30">
        <f>SUM(T18,P18,L18,F18)</f>
        <v>0</v>
      </c>
      <c r="V18" s="30"/>
    </row>
    <row r="19" spans="1:28" x14ac:dyDescent="0.25">
      <c r="A19" s="24" t="s">
        <v>49</v>
      </c>
      <c r="B19" s="25"/>
      <c r="C19" s="26">
        <f t="shared" ref="C19:E23" si="24">C2</f>
        <v>452786.14</v>
      </c>
      <c r="D19" s="26">
        <f t="shared" si="24"/>
        <v>845962.7</v>
      </c>
      <c r="E19" s="26">
        <f t="shared" si="24"/>
        <v>0</v>
      </c>
      <c r="F19" s="37">
        <f>SUM(C19:E19)</f>
        <v>1298748.8399999999</v>
      </c>
      <c r="G19" s="37"/>
      <c r="H19" s="37"/>
      <c r="I19" s="26">
        <f t="shared" ref="I19:K19" si="25">I2</f>
        <v>0</v>
      </c>
      <c r="J19" s="26">
        <f t="shared" si="25"/>
        <v>0</v>
      </c>
      <c r="K19" s="26">
        <f t="shared" si="25"/>
        <v>0</v>
      </c>
      <c r="L19" s="37">
        <f t="shared" ref="L19:L23" si="26">SUM(I19:K19)</f>
        <v>0</v>
      </c>
      <c r="M19" s="26">
        <f t="shared" ref="M19:S19" si="27">M2</f>
        <v>0</v>
      </c>
      <c r="N19" s="26">
        <f t="shared" si="27"/>
        <v>0</v>
      </c>
      <c r="O19" s="26">
        <f t="shared" si="27"/>
        <v>0</v>
      </c>
      <c r="P19" s="37">
        <f t="shared" ref="P19:P23" si="28">SUM(M19:O19)</f>
        <v>0</v>
      </c>
      <c r="Q19" s="26">
        <f t="shared" si="27"/>
        <v>0</v>
      </c>
      <c r="R19" s="26">
        <f t="shared" si="27"/>
        <v>0</v>
      </c>
      <c r="S19" s="26">
        <f t="shared" si="27"/>
        <v>0</v>
      </c>
      <c r="T19" s="37">
        <f t="shared" ref="T19:T23" si="29">SUM(Q19:S19)</f>
        <v>0</v>
      </c>
      <c r="U19" s="30"/>
      <c r="V19" s="30"/>
      <c r="Z19" s="45"/>
      <c r="AA19" s="45"/>
    </row>
    <row r="20" spans="1:28" x14ac:dyDescent="0.25">
      <c r="A20" s="24" t="s">
        <v>83</v>
      </c>
      <c r="B20" s="25"/>
      <c r="C20" s="26">
        <f t="shared" si="24"/>
        <v>0</v>
      </c>
      <c r="D20" s="26">
        <f t="shared" si="24"/>
        <v>0</v>
      </c>
      <c r="E20" s="26">
        <f t="shared" si="24"/>
        <v>0</v>
      </c>
      <c r="F20" s="37">
        <f>SUM(C20:E20)</f>
        <v>0</v>
      </c>
      <c r="G20" s="37"/>
      <c r="H20" s="37"/>
      <c r="I20" s="26">
        <f t="shared" ref="I20:K20" si="30">I3</f>
        <v>0</v>
      </c>
      <c r="J20" s="26">
        <f t="shared" si="30"/>
        <v>0</v>
      </c>
      <c r="K20" s="26">
        <f t="shared" si="30"/>
        <v>0</v>
      </c>
      <c r="L20" s="37">
        <f t="shared" si="26"/>
        <v>0</v>
      </c>
      <c r="M20" s="26">
        <f t="shared" ref="M20:O20" si="31">M3</f>
        <v>0</v>
      </c>
      <c r="N20" s="26">
        <f t="shared" si="31"/>
        <v>0</v>
      </c>
      <c r="O20" s="26">
        <f t="shared" si="31"/>
        <v>0</v>
      </c>
      <c r="P20" s="37">
        <f t="shared" si="28"/>
        <v>0</v>
      </c>
      <c r="Q20" s="26">
        <f t="shared" ref="Q20:S20" si="32">Q3</f>
        <v>0</v>
      </c>
      <c r="R20" s="26">
        <f t="shared" si="32"/>
        <v>0</v>
      </c>
      <c r="S20" s="26">
        <f t="shared" si="32"/>
        <v>0</v>
      </c>
      <c r="T20" s="37">
        <f t="shared" si="29"/>
        <v>0</v>
      </c>
      <c r="U20" s="30"/>
      <c r="V20" s="30"/>
    </row>
    <row r="21" spans="1:28" ht="15.75" thickBot="1" x14ac:dyDescent="0.3">
      <c r="A21" s="24" t="s">
        <v>4</v>
      </c>
      <c r="B21" s="25"/>
      <c r="C21" s="26">
        <f t="shared" si="24"/>
        <v>34559.440000000002</v>
      </c>
      <c r="D21" s="26">
        <f t="shared" si="24"/>
        <v>58611.9</v>
      </c>
      <c r="E21" s="26">
        <f t="shared" si="24"/>
        <v>0</v>
      </c>
      <c r="F21" s="37">
        <f>SUM(C21:E21)</f>
        <v>93171.34</v>
      </c>
      <c r="G21" s="37"/>
      <c r="H21" s="37"/>
      <c r="I21" s="26">
        <f t="shared" ref="I21:K21" si="33">I4</f>
        <v>0</v>
      </c>
      <c r="J21" s="26">
        <f t="shared" si="33"/>
        <v>0</v>
      </c>
      <c r="K21" s="26">
        <f t="shared" si="33"/>
        <v>0</v>
      </c>
      <c r="L21" s="37">
        <f t="shared" si="26"/>
        <v>0</v>
      </c>
      <c r="M21" s="26">
        <f t="shared" ref="M21:O21" si="34">M4</f>
        <v>0</v>
      </c>
      <c r="N21" s="26">
        <f t="shared" si="34"/>
        <v>0</v>
      </c>
      <c r="O21" s="26">
        <f t="shared" si="34"/>
        <v>0</v>
      </c>
      <c r="P21" s="37">
        <f t="shared" si="28"/>
        <v>0</v>
      </c>
      <c r="Q21" s="26">
        <f t="shared" ref="Q21:S21" si="35">Q4</f>
        <v>0</v>
      </c>
      <c r="R21" s="26">
        <f t="shared" si="35"/>
        <v>0</v>
      </c>
      <c r="S21" s="26">
        <f t="shared" si="35"/>
        <v>0</v>
      </c>
      <c r="T21" s="37">
        <f t="shared" si="29"/>
        <v>0</v>
      </c>
      <c r="U21" s="30"/>
      <c r="V21" s="30"/>
      <c r="AA21" s="45"/>
    </row>
    <row r="22" spans="1:28" x14ac:dyDescent="0.25">
      <c r="A22" s="24" t="s">
        <v>82</v>
      </c>
      <c r="B22" s="25"/>
      <c r="C22" s="26">
        <f t="shared" si="24"/>
        <v>74261.87</v>
      </c>
      <c r="D22" s="26">
        <f t="shared" si="24"/>
        <v>137738.53</v>
      </c>
      <c r="E22" s="26">
        <f t="shared" si="24"/>
        <v>0</v>
      </c>
      <c r="F22" s="37">
        <f>SUM(C22:E22)</f>
        <v>212000.4</v>
      </c>
      <c r="G22" s="37"/>
      <c r="H22" s="37"/>
      <c r="I22" s="26">
        <f t="shared" ref="I22:K22" si="36">I5</f>
        <v>0</v>
      </c>
      <c r="J22" s="26">
        <f t="shared" si="36"/>
        <v>0</v>
      </c>
      <c r="K22" s="26">
        <f t="shared" si="36"/>
        <v>0</v>
      </c>
      <c r="L22" s="37">
        <f t="shared" si="26"/>
        <v>0</v>
      </c>
      <c r="M22" s="26">
        <f t="shared" ref="M22:O22" si="37">M5</f>
        <v>0</v>
      </c>
      <c r="N22" s="26">
        <f t="shared" si="37"/>
        <v>0</v>
      </c>
      <c r="O22" s="26">
        <f t="shared" si="37"/>
        <v>0</v>
      </c>
      <c r="P22" s="37">
        <f t="shared" si="28"/>
        <v>0</v>
      </c>
      <c r="Q22" s="26">
        <f t="shared" ref="Q22:S22" si="38">Q5</f>
        <v>0</v>
      </c>
      <c r="R22" s="26">
        <f t="shared" si="38"/>
        <v>0</v>
      </c>
      <c r="S22" s="26">
        <f t="shared" si="38"/>
        <v>0</v>
      </c>
      <c r="T22" s="37">
        <f t="shared" si="29"/>
        <v>0</v>
      </c>
      <c r="U22" s="30"/>
      <c r="V22" s="30"/>
      <c r="X22" s="47" t="s">
        <v>86</v>
      </c>
      <c r="Y22" s="48" t="s">
        <v>87</v>
      </c>
      <c r="Z22" s="48" t="s">
        <v>88</v>
      </c>
      <c r="AA22" s="48" t="s">
        <v>89</v>
      </c>
      <c r="AB22" s="53" t="s">
        <v>90</v>
      </c>
    </row>
    <row r="23" spans="1:28" x14ac:dyDescent="0.25">
      <c r="A23" s="24" t="s">
        <v>84</v>
      </c>
      <c r="B23" s="25"/>
      <c r="C23" s="26">
        <f t="shared" si="24"/>
        <v>0</v>
      </c>
      <c r="D23" s="26">
        <f t="shared" si="24"/>
        <v>0</v>
      </c>
      <c r="E23" s="26">
        <f t="shared" si="24"/>
        <v>0</v>
      </c>
      <c r="F23" s="37">
        <f>SUM(C23:E23)</f>
        <v>0</v>
      </c>
      <c r="G23" s="37"/>
      <c r="H23" s="37"/>
      <c r="I23" s="26">
        <f t="shared" ref="I23:K23" si="39">I6</f>
        <v>0</v>
      </c>
      <c r="J23" s="26">
        <f t="shared" si="39"/>
        <v>0</v>
      </c>
      <c r="K23" s="26">
        <f t="shared" si="39"/>
        <v>0</v>
      </c>
      <c r="L23" s="37">
        <f t="shared" si="26"/>
        <v>0</v>
      </c>
      <c r="M23" s="26">
        <f t="shared" ref="M23:O23" si="40">M6</f>
        <v>0</v>
      </c>
      <c r="N23" s="26">
        <f t="shared" si="40"/>
        <v>0</v>
      </c>
      <c r="O23" s="26">
        <f t="shared" si="40"/>
        <v>0</v>
      </c>
      <c r="P23" s="37">
        <f t="shared" si="28"/>
        <v>0</v>
      </c>
      <c r="Q23" s="26">
        <f t="shared" ref="Q23:S23" si="41">Q6</f>
        <v>0</v>
      </c>
      <c r="R23" s="26">
        <f t="shared" si="41"/>
        <v>0</v>
      </c>
      <c r="S23" s="26">
        <f t="shared" si="41"/>
        <v>0</v>
      </c>
      <c r="T23" s="37">
        <f t="shared" si="29"/>
        <v>0</v>
      </c>
      <c r="U23" s="30"/>
      <c r="V23" s="30"/>
      <c r="X23" s="61"/>
      <c r="Y23" s="58">
        <f>Y2</f>
        <v>1460376.1699999997</v>
      </c>
      <c r="Z23" s="77">
        <f>Y24/Y23</f>
        <v>0.88932486483944762</v>
      </c>
      <c r="AA23" s="59"/>
      <c r="AB23" s="62"/>
    </row>
    <row r="24" spans="1:28" x14ac:dyDescent="0.25">
      <c r="A24" s="24" t="s">
        <v>78</v>
      </c>
      <c r="B24" s="25">
        <v>0.12</v>
      </c>
      <c r="C24" s="26">
        <f>(C19-C20-C21-C22+C23)*$B$24</f>
        <v>41275.779600000002</v>
      </c>
      <c r="D24" s="26">
        <f>(D19-D20-D21-D22+D23)*$B$24</f>
        <v>77953.472399999984</v>
      </c>
      <c r="E24" s="26">
        <f>(E19-E20-E21-E22+E23)*$B$24</f>
        <v>0</v>
      </c>
      <c r="F24" s="37">
        <f>(F19-F20-F21-F22+F23)*$B$24</f>
        <v>119229.25199999996</v>
      </c>
      <c r="G24" s="37"/>
      <c r="H24" s="37"/>
      <c r="I24" s="26">
        <f t="shared" ref="I24:K24" si="42">(I19-I20-I21-I22+I23)*$B$24</f>
        <v>0</v>
      </c>
      <c r="J24" s="26">
        <f t="shared" si="42"/>
        <v>0</v>
      </c>
      <c r="K24" s="26">
        <f t="shared" si="42"/>
        <v>0</v>
      </c>
      <c r="L24" s="37">
        <f>(L19-L20-L21-L22+L23)*$B$24</f>
        <v>0</v>
      </c>
      <c r="M24" s="26">
        <f t="shared" ref="M24:N24" si="43">(M19-M20-M21-M22+M23)*$B$24</f>
        <v>0</v>
      </c>
      <c r="N24" s="26">
        <f t="shared" si="43"/>
        <v>0</v>
      </c>
      <c r="O24" s="26">
        <f>(O19-O20-O21-O22+O23)*$B$24</f>
        <v>0</v>
      </c>
      <c r="P24" s="37">
        <f>(P19-P20-P21-P22+P23)*$B$24</f>
        <v>0</v>
      </c>
      <c r="Q24" s="26">
        <f t="shared" ref="Q24:S24" si="44">(Q19-Q20-Q21-Q22+Q23)*$B$24</f>
        <v>0</v>
      </c>
      <c r="R24" s="26">
        <f t="shared" si="44"/>
        <v>0</v>
      </c>
      <c r="S24" s="26">
        <f t="shared" si="44"/>
        <v>0</v>
      </c>
      <c r="T24" s="37">
        <f>(T19-T20-T21-T22+T23)*$B$24</f>
        <v>0</v>
      </c>
      <c r="U24" s="30"/>
      <c r="V24" s="30"/>
      <c r="X24" s="61" t="s">
        <v>91</v>
      </c>
      <c r="Y24" s="58">
        <f>Y3</f>
        <v>1298748.8399999999</v>
      </c>
      <c r="Z24" s="77"/>
      <c r="AA24" s="59">
        <f>Y23-AA29</f>
        <v>210376.16999999969</v>
      </c>
      <c r="AB24" s="63" t="s">
        <v>96</v>
      </c>
    </row>
    <row r="25" spans="1:28" x14ac:dyDescent="0.25">
      <c r="A25" s="24" t="s">
        <v>51</v>
      </c>
      <c r="B25" s="25"/>
      <c r="C25" s="26">
        <f t="shared" ref="C25:E26" si="45">C8</f>
        <v>81994.67</v>
      </c>
      <c r="D25" s="26">
        <f t="shared" si="45"/>
        <v>79632.66</v>
      </c>
      <c r="E25" s="26">
        <f t="shared" si="45"/>
        <v>0</v>
      </c>
      <c r="F25" s="37">
        <f>SUM(C25:E25)</f>
        <v>161627.33000000002</v>
      </c>
      <c r="G25" s="37"/>
      <c r="H25" s="37"/>
      <c r="I25" s="26">
        <f t="shared" ref="I25:K25" si="46">I8</f>
        <v>0</v>
      </c>
      <c r="J25" s="26">
        <f t="shared" si="46"/>
        <v>0</v>
      </c>
      <c r="K25" s="26">
        <f t="shared" si="46"/>
        <v>0</v>
      </c>
      <c r="L25" s="37">
        <f t="shared" ref="L25:L26" si="47">SUM(I25:K25)</f>
        <v>0</v>
      </c>
      <c r="M25" s="26">
        <f t="shared" ref="M25:S25" si="48">M8</f>
        <v>0</v>
      </c>
      <c r="N25" s="26">
        <f t="shared" si="48"/>
        <v>0</v>
      </c>
      <c r="O25" s="26">
        <f t="shared" si="48"/>
        <v>0</v>
      </c>
      <c r="P25" s="37">
        <f t="shared" ref="P25:P26" si="49">SUM(M25:O25)</f>
        <v>0</v>
      </c>
      <c r="Q25" s="26">
        <f t="shared" si="48"/>
        <v>0</v>
      </c>
      <c r="R25" s="26">
        <f t="shared" si="48"/>
        <v>0</v>
      </c>
      <c r="S25" s="26">
        <f t="shared" si="48"/>
        <v>0</v>
      </c>
      <c r="T25" s="37">
        <f t="shared" ref="T25:T26" si="50">SUM(Q25:S25)</f>
        <v>0</v>
      </c>
      <c r="U25" s="30"/>
      <c r="V25" s="30"/>
      <c r="X25" s="61"/>
      <c r="Y25" s="18"/>
      <c r="Z25" s="8"/>
      <c r="AA25" s="60">
        <f>AA24*Z23</f>
        <v>187092.75895069039</v>
      </c>
      <c r="AB25" s="64">
        <f>AA25*8.8%</f>
        <v>16464.162787660756</v>
      </c>
    </row>
    <row r="26" spans="1:28" x14ac:dyDescent="0.25">
      <c r="A26" s="24" t="s">
        <v>85</v>
      </c>
      <c r="B26" s="25"/>
      <c r="C26" s="26">
        <f t="shared" si="45"/>
        <v>1770.93</v>
      </c>
      <c r="D26" s="26">
        <f t="shared" si="45"/>
        <v>1652.83</v>
      </c>
      <c r="E26" s="26">
        <f t="shared" si="45"/>
        <v>0</v>
      </c>
      <c r="F26" s="37">
        <f>SUM(C26:E26)</f>
        <v>3423.76</v>
      </c>
      <c r="G26" s="37"/>
      <c r="H26" s="37"/>
      <c r="I26" s="26">
        <f t="shared" ref="I26:K26" si="51">I9</f>
        <v>0</v>
      </c>
      <c r="J26" s="26">
        <f t="shared" si="51"/>
        <v>0</v>
      </c>
      <c r="K26" s="26">
        <f t="shared" si="51"/>
        <v>0</v>
      </c>
      <c r="L26" s="37">
        <f t="shared" si="47"/>
        <v>0</v>
      </c>
      <c r="M26" s="26">
        <f t="shared" ref="M26:O26" si="52">M9</f>
        <v>0</v>
      </c>
      <c r="N26" s="26">
        <f t="shared" si="52"/>
        <v>0</v>
      </c>
      <c r="O26" s="26">
        <f t="shared" si="52"/>
        <v>0</v>
      </c>
      <c r="P26" s="37">
        <f t="shared" si="49"/>
        <v>0</v>
      </c>
      <c r="Q26" s="26">
        <f t="shared" ref="Q26:S26" si="53">Q9</f>
        <v>0</v>
      </c>
      <c r="R26" s="26">
        <f t="shared" si="53"/>
        <v>0</v>
      </c>
      <c r="S26" s="26">
        <f t="shared" si="53"/>
        <v>0</v>
      </c>
      <c r="T26" s="37">
        <f t="shared" si="50"/>
        <v>0</v>
      </c>
      <c r="U26" s="30"/>
      <c r="V26" s="30"/>
      <c r="X26" s="49"/>
      <c r="Z26" s="54"/>
      <c r="AA26" s="45"/>
      <c r="AB26" s="50"/>
    </row>
    <row r="27" spans="1:28" x14ac:dyDescent="0.25">
      <c r="A27" s="24" t="s">
        <v>78</v>
      </c>
      <c r="B27" s="25">
        <v>0.32</v>
      </c>
      <c r="C27" s="26">
        <f>(C25-C26)*$B$27</f>
        <v>25671.596800000003</v>
      </c>
      <c r="D27" s="26">
        <f>(D25-D26)*$B$27</f>
        <v>24953.545600000001</v>
      </c>
      <c r="E27" s="26">
        <f>(E25-E26)*$B$27</f>
        <v>0</v>
      </c>
      <c r="F27" s="37">
        <f>(F25-F26)*$B$27</f>
        <v>50625.142400000004</v>
      </c>
      <c r="G27" s="37"/>
      <c r="H27" s="37"/>
      <c r="I27" s="26">
        <f t="shared" ref="I27:K27" si="54">(I25-I26)*$B$27</f>
        <v>0</v>
      </c>
      <c r="J27" s="26">
        <f t="shared" si="54"/>
        <v>0</v>
      </c>
      <c r="K27" s="26">
        <f t="shared" si="54"/>
        <v>0</v>
      </c>
      <c r="L27" s="37">
        <f>(L25-L26)*$B$27</f>
        <v>0</v>
      </c>
      <c r="M27" s="26">
        <f t="shared" ref="M27:O27" si="55">(M25-M26)*$B$27</f>
        <v>0</v>
      </c>
      <c r="N27" s="26">
        <f t="shared" si="55"/>
        <v>0</v>
      </c>
      <c r="O27" s="26">
        <f t="shared" si="55"/>
        <v>0</v>
      </c>
      <c r="P27" s="37">
        <f>(P25-P26)*$B$27</f>
        <v>0</v>
      </c>
      <c r="Q27" s="26">
        <f t="shared" ref="Q27:S27" si="56">(Q25-Q26)*$B$27</f>
        <v>0</v>
      </c>
      <c r="R27" s="26">
        <f t="shared" si="56"/>
        <v>0</v>
      </c>
      <c r="S27" s="26">
        <f t="shared" si="56"/>
        <v>0</v>
      </c>
      <c r="T27" s="37">
        <f>(T25-T26)*$B$27</f>
        <v>0</v>
      </c>
      <c r="U27" s="30"/>
      <c r="V27" s="30"/>
      <c r="X27" s="65" t="s">
        <v>97</v>
      </c>
      <c r="Y27" s="73">
        <v>8.7999999999999995E-2</v>
      </c>
      <c r="Z27" s="8"/>
      <c r="AA27" s="59"/>
      <c r="AB27" s="62"/>
    </row>
    <row r="28" spans="1:28" x14ac:dyDescent="0.25">
      <c r="A28" s="24" t="s">
        <v>52</v>
      </c>
      <c r="B28" s="25"/>
      <c r="C28" s="26">
        <f>C24+C27</f>
        <v>66947.376400000008</v>
      </c>
      <c r="D28" s="26">
        <f>D24+D27</f>
        <v>102907.01799999998</v>
      </c>
      <c r="E28" s="26">
        <f>E24+E27</f>
        <v>0</v>
      </c>
      <c r="F28" s="37">
        <f>F24+F27</f>
        <v>169854.39439999996</v>
      </c>
      <c r="G28" s="37"/>
      <c r="H28" s="37"/>
      <c r="I28" s="26">
        <f t="shared" ref="I28:K28" si="57">I24+I27</f>
        <v>0</v>
      </c>
      <c r="J28" s="26">
        <f t="shared" si="57"/>
        <v>0</v>
      </c>
      <c r="K28" s="26">
        <f t="shared" si="57"/>
        <v>0</v>
      </c>
      <c r="L28" s="37">
        <f>L24+L27</f>
        <v>0</v>
      </c>
      <c r="M28" s="26">
        <f t="shared" ref="M28:S28" si="58">M24+M27</f>
        <v>0</v>
      </c>
      <c r="N28" s="26">
        <f t="shared" si="58"/>
        <v>0</v>
      </c>
      <c r="O28" s="26">
        <f t="shared" si="58"/>
        <v>0</v>
      </c>
      <c r="P28" s="37">
        <f>P24+P27</f>
        <v>0</v>
      </c>
      <c r="Q28" s="26">
        <f t="shared" si="58"/>
        <v>0</v>
      </c>
      <c r="R28" s="26">
        <f t="shared" si="58"/>
        <v>0</v>
      </c>
      <c r="S28" s="26">
        <f t="shared" si="58"/>
        <v>0</v>
      </c>
      <c r="T28" s="37">
        <f>T24+T27</f>
        <v>0</v>
      </c>
      <c r="U28" s="30"/>
      <c r="V28" s="30"/>
      <c r="X28" s="65" t="s">
        <v>75</v>
      </c>
      <c r="Y28" s="73">
        <v>0.35199999999999998</v>
      </c>
      <c r="Z28" s="8"/>
      <c r="AA28" s="18"/>
      <c r="AB28" s="62"/>
    </row>
    <row r="29" spans="1:28" x14ac:dyDescent="0.25">
      <c r="A29" s="24" t="s">
        <v>53</v>
      </c>
      <c r="B29" s="25"/>
      <c r="C29" s="26">
        <f>C12</f>
        <v>842361.53</v>
      </c>
      <c r="D29" s="26">
        <f>D12</f>
        <v>103307.87</v>
      </c>
      <c r="E29" s="26">
        <f>E12</f>
        <v>0</v>
      </c>
      <c r="F29" s="37">
        <f>SUM(C29:E29)</f>
        <v>945669.4</v>
      </c>
      <c r="G29" s="37"/>
      <c r="H29" s="37"/>
      <c r="I29" s="26">
        <f t="shared" ref="I29:K29" si="59">I12</f>
        <v>0</v>
      </c>
      <c r="J29" s="26">
        <f t="shared" si="59"/>
        <v>0</v>
      </c>
      <c r="K29" s="26">
        <f t="shared" si="59"/>
        <v>0</v>
      </c>
      <c r="L29" s="37">
        <f t="shared" ref="L29" si="60">SUM(I29:K29)</f>
        <v>0</v>
      </c>
      <c r="M29" s="26">
        <f t="shared" ref="M29:S29" si="61">M12</f>
        <v>0</v>
      </c>
      <c r="N29" s="26">
        <f t="shared" si="61"/>
        <v>0</v>
      </c>
      <c r="O29" s="26">
        <f t="shared" si="61"/>
        <v>0</v>
      </c>
      <c r="P29" s="37">
        <f t="shared" ref="P29" si="62">SUM(M29:O29)</f>
        <v>0</v>
      </c>
      <c r="Q29" s="26">
        <f t="shared" si="61"/>
        <v>0</v>
      </c>
      <c r="R29" s="26">
        <f t="shared" si="61"/>
        <v>0</v>
      </c>
      <c r="S29" s="26">
        <f t="shared" si="61"/>
        <v>0</v>
      </c>
      <c r="T29" s="43">
        <f t="shared" ref="T29" si="63">SUM(Q29:S29)</f>
        <v>0</v>
      </c>
      <c r="U29" s="30"/>
      <c r="V29" s="30"/>
      <c r="X29" s="61" t="s">
        <v>92</v>
      </c>
      <c r="Y29" s="58">
        <f>Y8</f>
        <v>161627.33000000002</v>
      </c>
      <c r="Z29" s="77">
        <f>Y29/Y23</f>
        <v>0.11067513516055254</v>
      </c>
      <c r="AA29" s="60">
        <v>1250000</v>
      </c>
      <c r="AB29" s="63" t="s">
        <v>96</v>
      </c>
    </row>
    <row r="30" spans="1:28" x14ac:dyDescent="0.25">
      <c r="A30" s="24" t="s">
        <v>77</v>
      </c>
      <c r="B30" s="25"/>
      <c r="C30" s="26">
        <f>C28+C29</f>
        <v>909308.90639999998</v>
      </c>
      <c r="D30" s="26">
        <f t="shared" ref="D30:F30" si="64">D28+D29</f>
        <v>206214.88799999998</v>
      </c>
      <c r="E30" s="26">
        <f t="shared" si="64"/>
        <v>0</v>
      </c>
      <c r="F30" s="37">
        <f t="shared" si="64"/>
        <v>1115523.7944</v>
      </c>
      <c r="G30" s="37"/>
      <c r="H30" s="37"/>
      <c r="I30" s="26">
        <f t="shared" ref="I30:S30" si="65">I28+I29</f>
        <v>0</v>
      </c>
      <c r="J30" s="26">
        <f t="shared" si="65"/>
        <v>0</v>
      </c>
      <c r="K30" s="26">
        <f t="shared" si="65"/>
        <v>0</v>
      </c>
      <c r="L30" s="37">
        <f>L28+L29</f>
        <v>0</v>
      </c>
      <c r="M30" s="26">
        <f t="shared" si="65"/>
        <v>0</v>
      </c>
      <c r="N30" s="26">
        <f t="shared" si="65"/>
        <v>0</v>
      </c>
      <c r="O30" s="26">
        <f t="shared" si="65"/>
        <v>0</v>
      </c>
      <c r="P30" s="37">
        <f>P28+P29</f>
        <v>0</v>
      </c>
      <c r="Q30" s="26">
        <f t="shared" si="65"/>
        <v>0</v>
      </c>
      <c r="R30" s="26">
        <f t="shared" si="65"/>
        <v>0</v>
      </c>
      <c r="S30" s="26">
        <f t="shared" si="65"/>
        <v>0</v>
      </c>
      <c r="T30" s="37">
        <f>T28+T29</f>
        <v>0</v>
      </c>
      <c r="U30" s="30"/>
      <c r="V30" s="30"/>
      <c r="X30" s="61"/>
      <c r="Y30" s="18"/>
      <c r="Z30" s="77"/>
      <c r="AA30" s="59">
        <f>Y23-AA29</f>
        <v>210376.16999999969</v>
      </c>
      <c r="AB30" s="64">
        <f>AA31*35.2%</f>
        <v>8195.76068935689</v>
      </c>
    </row>
    <row r="31" spans="1:28" x14ac:dyDescent="0.25">
      <c r="A31" s="24" t="s">
        <v>27</v>
      </c>
      <c r="B31" s="25">
        <v>0.09</v>
      </c>
      <c r="C31" s="26">
        <f>C30*$B$31</f>
        <v>81837.801575999998</v>
      </c>
      <c r="D31" s="26">
        <f t="shared" ref="D31:E31" si="66">D30*$B$31</f>
        <v>18559.339919999999</v>
      </c>
      <c r="E31" s="26">
        <f t="shared" si="66"/>
        <v>0</v>
      </c>
      <c r="F31" s="37">
        <f>F30*$B$31</f>
        <v>100397.141496</v>
      </c>
      <c r="G31" s="37"/>
      <c r="H31" s="37"/>
      <c r="I31" s="26">
        <f t="shared" ref="I31:S31" si="67">I30*$B$31</f>
        <v>0</v>
      </c>
      <c r="J31" s="26">
        <f t="shared" si="67"/>
        <v>0</v>
      </c>
      <c r="K31" s="26">
        <f t="shared" si="67"/>
        <v>0</v>
      </c>
      <c r="L31" s="37">
        <f>L30*$B$31</f>
        <v>0</v>
      </c>
      <c r="M31" s="26">
        <f t="shared" si="67"/>
        <v>0</v>
      </c>
      <c r="N31" s="26">
        <f t="shared" si="67"/>
        <v>0</v>
      </c>
      <c r="O31" s="26">
        <f t="shared" si="67"/>
        <v>0</v>
      </c>
      <c r="P31" s="37">
        <f>P30*$B$31</f>
        <v>0</v>
      </c>
      <c r="Q31" s="26">
        <f t="shared" si="67"/>
        <v>0</v>
      </c>
      <c r="R31" s="26">
        <f t="shared" si="67"/>
        <v>0</v>
      </c>
      <c r="S31" s="26">
        <f t="shared" si="67"/>
        <v>0</v>
      </c>
      <c r="T31" s="37">
        <f>T30*$B$31</f>
        <v>0</v>
      </c>
      <c r="U31" s="30"/>
      <c r="V31" s="30"/>
      <c r="X31" s="61"/>
      <c r="Y31" s="18"/>
      <c r="Z31" s="8"/>
      <c r="AA31" s="59">
        <f>AA30*Z29</f>
        <v>23283.411049309343</v>
      </c>
      <c r="AB31" s="62"/>
    </row>
    <row r="32" spans="1:28" x14ac:dyDescent="0.25">
      <c r="A32" s="24" t="s">
        <v>59</v>
      </c>
      <c r="B32" s="25"/>
      <c r="C32" s="44">
        <v>776.27</v>
      </c>
      <c r="D32" s="26">
        <v>776.27</v>
      </c>
      <c r="E32" s="26">
        <v>0</v>
      </c>
      <c r="F32" s="37">
        <f>SUM(C32:E32)</f>
        <v>1552.54</v>
      </c>
      <c r="G32" s="37"/>
      <c r="H32" s="37"/>
      <c r="I32" s="26">
        <v>0</v>
      </c>
      <c r="J32" s="26">
        <v>0</v>
      </c>
      <c r="K32" s="26">
        <v>0</v>
      </c>
      <c r="L32" s="37">
        <f t="shared" ref="L32" si="68">SUM(I32:K32)</f>
        <v>0</v>
      </c>
      <c r="M32" s="26">
        <v>0</v>
      </c>
      <c r="N32" s="26">
        <v>0</v>
      </c>
      <c r="O32" s="26">
        <v>0</v>
      </c>
      <c r="P32" s="37">
        <f t="shared" ref="P32" si="69">SUM(M32:O32)</f>
        <v>0</v>
      </c>
      <c r="Q32" s="26">
        <v>0</v>
      </c>
      <c r="R32" s="26">
        <v>0</v>
      </c>
      <c r="S32" s="26">
        <v>0</v>
      </c>
      <c r="T32" s="37">
        <f t="shared" ref="T32" si="70">SUM(Q32:S32)</f>
        <v>0</v>
      </c>
      <c r="U32" s="30"/>
      <c r="V32" s="30"/>
      <c r="X32" s="51"/>
      <c r="Y32" s="55"/>
      <c r="Z32" s="56"/>
      <c r="AA32" s="57"/>
      <c r="AB32" s="52"/>
    </row>
    <row r="33" spans="1:28" s="5" customFormat="1" x14ac:dyDescent="0.25">
      <c r="A33" s="32" t="s">
        <v>60</v>
      </c>
      <c r="B33" s="33"/>
      <c r="C33" s="29">
        <f>C31-C32</f>
        <v>81061.531575999994</v>
      </c>
      <c r="D33" s="29">
        <f>D31-D32</f>
        <v>17783.069919999998</v>
      </c>
      <c r="E33" s="29">
        <f>E31-E32</f>
        <v>0</v>
      </c>
      <c r="F33" s="29">
        <f t="shared" ref="F33:S33" si="71">F31-F32</f>
        <v>98844.601496000003</v>
      </c>
      <c r="G33" s="29"/>
      <c r="H33" s="29"/>
      <c r="I33" s="29">
        <f t="shared" si="71"/>
        <v>0</v>
      </c>
      <c r="J33" s="29">
        <f t="shared" si="71"/>
        <v>0</v>
      </c>
      <c r="K33" s="29">
        <f t="shared" si="71"/>
        <v>0</v>
      </c>
      <c r="L33" s="29">
        <f t="shared" si="71"/>
        <v>0</v>
      </c>
      <c r="M33" s="29">
        <f t="shared" si="71"/>
        <v>0</v>
      </c>
      <c r="N33" s="29">
        <f t="shared" si="71"/>
        <v>0</v>
      </c>
      <c r="O33" s="29">
        <f t="shared" si="71"/>
        <v>0</v>
      </c>
      <c r="P33" s="29">
        <f t="shared" ref="P33" si="72">P31-P32</f>
        <v>0</v>
      </c>
      <c r="Q33" s="29">
        <f t="shared" si="71"/>
        <v>0</v>
      </c>
      <c r="R33" s="29">
        <f t="shared" si="71"/>
        <v>0</v>
      </c>
      <c r="S33" s="29">
        <f t="shared" si="71"/>
        <v>0</v>
      </c>
      <c r="T33" s="29">
        <f t="shared" ref="T33" si="73">T31-T32</f>
        <v>0</v>
      </c>
      <c r="U33" s="30">
        <f>SUM(T33,P33,L33,F33)</f>
        <v>98844.601496000003</v>
      </c>
      <c r="V33" s="30"/>
      <c r="X33" s="66"/>
      <c r="Y33" s="18"/>
      <c r="Z33" s="8"/>
      <c r="AA33" s="59"/>
      <c r="AB33" s="67" t="s">
        <v>95</v>
      </c>
    </row>
    <row r="34" spans="1:28" s="41" customFormat="1" x14ac:dyDescent="0.25">
      <c r="A34" s="38" t="s">
        <v>74</v>
      </c>
      <c r="B34" s="39"/>
      <c r="C34" s="39"/>
      <c r="D34" s="39"/>
      <c r="E34" s="39"/>
      <c r="F34" s="40"/>
      <c r="G34" s="40"/>
      <c r="H34" s="40"/>
      <c r="I34" s="39"/>
      <c r="J34" s="39"/>
      <c r="K34" s="39"/>
      <c r="L34" s="40"/>
      <c r="M34" s="39"/>
      <c r="N34" s="39"/>
      <c r="O34" s="39"/>
      <c r="P34" s="40"/>
      <c r="Q34" s="39"/>
      <c r="R34" s="39"/>
      <c r="S34" s="39"/>
      <c r="T34" s="40"/>
      <c r="U34" s="30">
        <f>SUM(T34,P34,L34,F34)</f>
        <v>0</v>
      </c>
      <c r="V34" s="30"/>
      <c r="X34" s="61" t="s">
        <v>91</v>
      </c>
      <c r="Y34" s="18"/>
      <c r="Z34" s="8"/>
      <c r="AA34" s="59">
        <f>AA29*Z23</f>
        <v>1111656.0810493096</v>
      </c>
      <c r="AB34" s="64">
        <f>AA34*8%</f>
        <v>88932.486483944769</v>
      </c>
    </row>
    <row r="35" spans="1:28" ht="15.75" hidden="1" thickBot="1" x14ac:dyDescent="0.3">
      <c r="A35" s="24" t="s">
        <v>61</v>
      </c>
      <c r="B35" s="25"/>
      <c r="C35" s="31">
        <f>C2+C8</f>
        <v>534780.81000000006</v>
      </c>
      <c r="D35" s="31">
        <f>D2+D8</f>
        <v>925595.36</v>
      </c>
      <c r="E35" s="31">
        <f>E2+E8</f>
        <v>0</v>
      </c>
      <c r="F35" s="42"/>
      <c r="G35" s="42"/>
      <c r="H35" s="42"/>
      <c r="I35" s="31">
        <f>I2+I8</f>
        <v>0</v>
      </c>
      <c r="J35" s="31">
        <f>J2+J8</f>
        <v>0</v>
      </c>
      <c r="K35" s="31">
        <f>K2+K8</f>
        <v>0</v>
      </c>
      <c r="L35" s="43"/>
      <c r="M35" s="31">
        <f>M2+M8</f>
        <v>0</v>
      </c>
      <c r="N35" s="31">
        <f>N2+N8</f>
        <v>0</v>
      </c>
      <c r="O35" s="31">
        <f>O2+O8</f>
        <v>0</v>
      </c>
      <c r="P35" s="42"/>
      <c r="Q35" s="31">
        <f>Q2+Q8</f>
        <v>0</v>
      </c>
      <c r="R35" s="31">
        <f>R2+R8</f>
        <v>0</v>
      </c>
      <c r="S35" s="31">
        <f>S2+S8</f>
        <v>0</v>
      </c>
      <c r="T35" s="42"/>
      <c r="X35" s="68" t="s">
        <v>92</v>
      </c>
      <c r="Y35" s="69"/>
      <c r="Z35" s="70"/>
      <c r="AA35" s="71">
        <f>AA30-Y29</f>
        <v>48748.839999999676</v>
      </c>
      <c r="AB35" s="72">
        <f>AA35*32%</f>
        <v>15599.628799999897</v>
      </c>
    </row>
    <row r="36" spans="1:28" hidden="1" x14ac:dyDescent="0.25">
      <c r="A36" s="24" t="s">
        <v>79</v>
      </c>
      <c r="B36" s="35">
        <v>6.4999999999999997E-3</v>
      </c>
      <c r="C36" s="31">
        <f>C35*$B$36</f>
        <v>3476.0752650000004</v>
      </c>
      <c r="D36" s="31">
        <f>D35*$B$36</f>
        <v>6016.3698399999994</v>
      </c>
      <c r="E36" s="31">
        <f>E35*$B$36</f>
        <v>0</v>
      </c>
      <c r="F36" s="42"/>
      <c r="G36" s="42"/>
      <c r="H36" s="42"/>
      <c r="I36" s="31">
        <f>I35*$B$36</f>
        <v>0</v>
      </c>
      <c r="J36" s="31">
        <f>J35*$B$36</f>
        <v>0</v>
      </c>
      <c r="K36" s="31">
        <f>K35*$B$36</f>
        <v>0</v>
      </c>
      <c r="L36" s="43"/>
      <c r="M36" s="31">
        <f>M35*$B$36</f>
        <v>0</v>
      </c>
      <c r="N36" s="31">
        <f>N35*$B$36</f>
        <v>0</v>
      </c>
      <c r="O36" s="31">
        <f>O35*$B$36</f>
        <v>0</v>
      </c>
      <c r="P36" s="42"/>
      <c r="Q36" s="26">
        <f>Q35*$B$36</f>
        <v>0</v>
      </c>
      <c r="R36" s="31">
        <f>R35*$B$36</f>
        <v>0</v>
      </c>
      <c r="S36" s="31">
        <f>S35*$B$36</f>
        <v>0</v>
      </c>
      <c r="T36" s="42"/>
    </row>
    <row r="37" spans="1:28" hidden="1" x14ac:dyDescent="0.25">
      <c r="A37" s="24" t="s">
        <v>63</v>
      </c>
      <c r="B37" s="25"/>
      <c r="C37" s="31"/>
      <c r="D37" s="31"/>
      <c r="E37" s="31"/>
      <c r="F37" s="42"/>
      <c r="G37" s="42"/>
      <c r="H37" s="42"/>
      <c r="I37" s="31"/>
      <c r="J37" s="31"/>
      <c r="K37" s="31"/>
      <c r="L37" s="43"/>
      <c r="M37" s="31"/>
      <c r="N37" s="31"/>
      <c r="O37" s="31">
        <v>0</v>
      </c>
      <c r="P37" s="42"/>
      <c r="Q37" s="31"/>
      <c r="R37" s="31"/>
      <c r="S37" s="31"/>
      <c r="T37" s="42"/>
    </row>
    <row r="38" spans="1:28" s="5" customFormat="1" hidden="1" x14ac:dyDescent="0.25">
      <c r="A38" s="32" t="s">
        <v>64</v>
      </c>
      <c r="B38" s="33"/>
      <c r="C38" s="29">
        <f>C36-C37</f>
        <v>3476.0752650000004</v>
      </c>
      <c r="D38" s="29">
        <f>D36-D37</f>
        <v>6016.3698399999994</v>
      </c>
      <c r="E38" s="29">
        <f>E36-E37</f>
        <v>0</v>
      </c>
      <c r="F38" s="29"/>
      <c r="G38" s="29"/>
      <c r="H38" s="29"/>
      <c r="I38" s="29">
        <f>I36-I37</f>
        <v>0</v>
      </c>
      <c r="J38" s="29">
        <f>J36-J37</f>
        <v>0</v>
      </c>
      <c r="K38" s="29">
        <f>K36-K37</f>
        <v>0</v>
      </c>
      <c r="L38" s="29"/>
      <c r="M38" s="29">
        <f>M36-M37</f>
        <v>0</v>
      </c>
      <c r="N38" s="29">
        <f>N36-N37</f>
        <v>0</v>
      </c>
      <c r="O38" s="29">
        <f>O36-O37</f>
        <v>0</v>
      </c>
      <c r="P38" s="29"/>
      <c r="Q38" s="29">
        <f>Q36-Q37</f>
        <v>0</v>
      </c>
      <c r="R38" s="29">
        <f>R36-R37</f>
        <v>0</v>
      </c>
      <c r="S38" s="29">
        <f>S36-S37</f>
        <v>0</v>
      </c>
      <c r="T38" s="29"/>
    </row>
    <row r="39" spans="1:28" hidden="1" x14ac:dyDescent="0.25">
      <c r="A39" s="24" t="s">
        <v>65</v>
      </c>
      <c r="B39" s="25"/>
      <c r="C39" s="31">
        <f>C2+C8</f>
        <v>534780.81000000006</v>
      </c>
      <c r="D39" s="31">
        <f>D2+D8</f>
        <v>925595.36</v>
      </c>
      <c r="E39" s="31">
        <f>E2+E8</f>
        <v>0</v>
      </c>
      <c r="F39" s="42"/>
      <c r="G39" s="42"/>
      <c r="H39" s="42"/>
      <c r="I39" s="31">
        <f>I2+I8</f>
        <v>0</v>
      </c>
      <c r="J39" s="31">
        <f>J2+J8</f>
        <v>0</v>
      </c>
      <c r="K39" s="31">
        <f>K2+K8</f>
        <v>0</v>
      </c>
      <c r="L39" s="43"/>
      <c r="M39" s="31">
        <f>M2+M8</f>
        <v>0</v>
      </c>
      <c r="N39" s="31">
        <f>N2+N8</f>
        <v>0</v>
      </c>
      <c r="O39" s="31">
        <f>O2+O8</f>
        <v>0</v>
      </c>
      <c r="P39" s="42"/>
      <c r="Q39" s="31">
        <f>Q2+Q8</f>
        <v>0</v>
      </c>
      <c r="R39" s="31">
        <f>R35</f>
        <v>0</v>
      </c>
      <c r="S39" s="31">
        <f>S2+S8</f>
        <v>0</v>
      </c>
      <c r="T39" s="42"/>
    </row>
    <row r="40" spans="1:28" hidden="1" x14ac:dyDescent="0.25">
      <c r="A40" s="24" t="s">
        <v>80</v>
      </c>
      <c r="B40" s="35">
        <v>0.03</v>
      </c>
      <c r="C40" s="31">
        <f>C39*$B$40</f>
        <v>16043.424300000001</v>
      </c>
      <c r="D40" s="31">
        <f>D39*$B$40</f>
        <v>27767.860799999999</v>
      </c>
      <c r="E40" s="31">
        <f>E39*$B$40</f>
        <v>0</v>
      </c>
      <c r="F40" s="42"/>
      <c r="G40" s="42"/>
      <c r="H40" s="42"/>
      <c r="I40" s="31">
        <f>I39*$B$40</f>
        <v>0</v>
      </c>
      <c r="J40" s="31">
        <f>J39*$B$40</f>
        <v>0</v>
      </c>
      <c r="K40" s="31">
        <f>K39*$B$40</f>
        <v>0</v>
      </c>
      <c r="L40" s="43"/>
      <c r="M40" s="31">
        <f>M39*$B$40</f>
        <v>0</v>
      </c>
      <c r="N40" s="31">
        <f>N39*$B$40</f>
        <v>0</v>
      </c>
      <c r="O40" s="31">
        <f>O39*$B$40</f>
        <v>0</v>
      </c>
      <c r="P40" s="42"/>
      <c r="Q40" s="26">
        <f>Q39*$B$40</f>
        <v>0</v>
      </c>
      <c r="R40" s="31">
        <f>R39*$B$40</f>
        <v>0</v>
      </c>
      <c r="S40" s="31">
        <f>S39*$B$40</f>
        <v>0</v>
      </c>
      <c r="T40" s="42"/>
    </row>
    <row r="41" spans="1:28" hidden="1" x14ac:dyDescent="0.25">
      <c r="A41" s="24" t="s">
        <v>67</v>
      </c>
      <c r="B41" s="25"/>
      <c r="C41" s="31"/>
      <c r="D41" s="31"/>
      <c r="E41" s="31"/>
      <c r="F41" s="42"/>
      <c r="G41" s="42"/>
      <c r="H41" s="42"/>
      <c r="I41" s="31"/>
      <c r="J41" s="31"/>
      <c r="K41" s="31"/>
      <c r="L41" s="43"/>
      <c r="M41" s="31"/>
      <c r="N41" s="31"/>
      <c r="O41" s="31">
        <v>0</v>
      </c>
      <c r="P41" s="42"/>
      <c r="Q41" s="31"/>
      <c r="R41" s="31"/>
      <c r="S41" s="31"/>
      <c r="T41" s="42"/>
    </row>
    <row r="42" spans="1:28" s="5" customFormat="1" hidden="1" x14ac:dyDescent="0.25">
      <c r="A42" s="32" t="s">
        <v>68</v>
      </c>
      <c r="B42" s="33"/>
      <c r="C42" s="29">
        <f>C40-C41</f>
        <v>16043.424300000001</v>
      </c>
      <c r="D42" s="29">
        <f>D40-D41</f>
        <v>27767.860799999999</v>
      </c>
      <c r="E42" s="29">
        <f>E40-E41</f>
        <v>0</v>
      </c>
      <c r="F42" s="29"/>
      <c r="G42" s="29"/>
      <c r="H42" s="29"/>
      <c r="I42" s="29">
        <f>I40-I41</f>
        <v>0</v>
      </c>
      <c r="J42" s="29">
        <f>J40-J41</f>
        <v>0</v>
      </c>
      <c r="K42" s="29">
        <f>K40-K41</f>
        <v>0</v>
      </c>
      <c r="L42" s="29"/>
      <c r="M42" s="29">
        <f>M40-M41</f>
        <v>0</v>
      </c>
      <c r="N42" s="29">
        <f>N40-N41</f>
        <v>0</v>
      </c>
      <c r="O42" s="29">
        <f>O40-O41</f>
        <v>0</v>
      </c>
      <c r="P42" s="29"/>
      <c r="Q42" s="29">
        <f>Q40-Q41</f>
        <v>0</v>
      </c>
      <c r="R42" s="29">
        <f>R40-R41</f>
        <v>0</v>
      </c>
      <c r="S42" s="29">
        <f>S40-S41</f>
        <v>0</v>
      </c>
      <c r="T42" s="29"/>
    </row>
    <row r="43" spans="1:28" ht="15.75" thickBot="1" x14ac:dyDescent="0.3">
      <c r="X43" s="68" t="s">
        <v>92</v>
      </c>
      <c r="Y43" s="69"/>
      <c r="Z43" s="70"/>
      <c r="AA43" s="71">
        <f>AA29*Z29</f>
        <v>138343.91895069068</v>
      </c>
      <c r="AB43" s="72">
        <f>AA43*32%</f>
        <v>44270.054064221018</v>
      </c>
    </row>
    <row r="44" spans="1:28" x14ac:dyDescent="0.25">
      <c r="C44" s="45"/>
    </row>
    <row r="46" spans="1:28" x14ac:dyDescent="0.25">
      <c r="C46" s="45"/>
      <c r="X46" s="45"/>
      <c r="Z46" s="45"/>
    </row>
    <row r="47" spans="1:28" x14ac:dyDescent="0.25">
      <c r="X47" s="45"/>
      <c r="Z47" s="45"/>
    </row>
  </sheetData>
  <mergeCells count="4">
    <mergeCell ref="Z2:Z3"/>
    <mergeCell ref="Z8:Z9"/>
    <mergeCell ref="Z23:Z24"/>
    <mergeCell ref="Z29:Z30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PRATICA M</vt:lpstr>
      <vt:lpstr>PRATICA FL SP</vt:lpstr>
      <vt:lpstr>FATURAMENTO CONSOLIDADO PRATICA</vt:lpstr>
      <vt:lpstr>TOTAL 2012</vt:lpstr>
      <vt:lpstr>2012</vt:lpstr>
      <vt:lpstr>Luiza</vt:lpstr>
      <vt:lpstr>2013</vt:lpstr>
      <vt:lpstr>2026 (2)</vt:lpstr>
      <vt:lpstr>2026</vt:lpstr>
      <vt:lpstr>'2012'!_FiltrarBancodeDados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Leticia</dc:creator>
  <dc:description/>
  <cp:lastModifiedBy>embtech10</cp:lastModifiedBy>
  <cp:revision>6</cp:revision>
  <cp:lastPrinted>2025-02-25T19:30:04Z</cp:lastPrinted>
  <dcterms:created xsi:type="dcterms:W3CDTF">2010-02-01T14:23:56Z</dcterms:created>
  <dcterms:modified xsi:type="dcterms:W3CDTF">2026-03-18T18:09:59Z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