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schaffler-my.sharepoint.com/personal/markus_versicherungsagentur_bz/Documents/Markus Privat/INVESTMENT/"/>
    </mc:Choice>
  </mc:AlternateContent>
  <xr:revisionPtr revIDLastSave="22" documentId="8_{CA5BB55B-C18E-4BDF-B9AA-C174869D6A16}" xr6:coauthVersionLast="47" xr6:coauthVersionMax="47" xr10:uidLastSave="{9D677CD9-7391-4829-A66F-DC9F3968D031}"/>
  <bookViews>
    <workbookView xWindow="-108" yWindow="-108" windowWidth="23256" windowHeight="12456" tabRatio="500" xr2:uid="{00000000-000D-0000-FFFF-FFFF00000000}"/>
  </bookViews>
  <sheets>
    <sheet name="Eingaben" sheetId="1" r:id="rId1"/>
    <sheet name="Ergebnisse" sheetId="2" r:id="rId2"/>
    <sheet name="Leiter 3 und 5 Jahre" sheetId="6" r:id="rId3"/>
    <sheet name="Einstieg" sheetId="4" r:id="rId4"/>
    <sheet name="Entwicklung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6" i="5" l="1"/>
  <c r="C6" i="5"/>
  <c r="D6" i="5"/>
  <c r="I6" i="5"/>
  <c r="B7" i="5"/>
  <c r="C7" i="5"/>
  <c r="I7" i="5"/>
  <c r="B8" i="5"/>
  <c r="C8" i="5"/>
  <c r="I8" i="5"/>
  <c r="B9" i="5"/>
  <c r="C9" i="5"/>
  <c r="I9" i="5"/>
  <c r="B10" i="5"/>
  <c r="C10" i="5"/>
  <c r="I10" i="5"/>
  <c r="B11" i="5"/>
  <c r="C11" i="5"/>
  <c r="I11" i="5"/>
  <c r="B12" i="5"/>
  <c r="C12" i="5"/>
  <c r="I12" i="5"/>
  <c r="B13" i="5"/>
  <c r="C13" i="5"/>
  <c r="I13" i="5"/>
  <c r="B14" i="5"/>
  <c r="C14" i="5"/>
  <c r="I14" i="5"/>
  <c r="B15" i="5"/>
  <c r="C15" i="5"/>
  <c r="I15" i="5"/>
  <c r="B16" i="5"/>
  <c r="C16" i="5"/>
  <c r="I16" i="5"/>
  <c r="B17" i="5"/>
  <c r="C17" i="5"/>
  <c r="I17" i="5"/>
  <c r="B18" i="5"/>
  <c r="C18" i="5"/>
  <c r="I18" i="5"/>
  <c r="B19" i="5"/>
  <c r="C19" i="5"/>
  <c r="I19" i="5"/>
  <c r="B20" i="5"/>
  <c r="C20" i="5"/>
  <c r="I20" i="5"/>
  <c r="B21" i="5"/>
  <c r="C21" i="5"/>
  <c r="I21" i="5"/>
  <c r="B22" i="5"/>
  <c r="C22" i="5"/>
  <c r="I22" i="5"/>
  <c r="B23" i="5"/>
  <c r="C23" i="5"/>
  <c r="I23" i="5"/>
  <c r="B24" i="5"/>
  <c r="C24" i="5"/>
  <c r="I24" i="5"/>
  <c r="B25" i="5"/>
  <c r="C25" i="5"/>
  <c r="I25" i="5"/>
  <c r="B26" i="5"/>
  <c r="C26" i="5"/>
  <c r="I26" i="5"/>
  <c r="B27" i="5"/>
  <c r="C27" i="5"/>
  <c r="I27" i="5"/>
  <c r="B28" i="5"/>
  <c r="C28" i="5"/>
  <c r="I28" i="5"/>
  <c r="B29" i="5"/>
  <c r="C29" i="5"/>
  <c r="I29" i="5"/>
  <c r="B30" i="5"/>
  <c r="C30" i="5"/>
  <c r="I30" i="5"/>
  <c r="B31" i="5"/>
  <c r="C31" i="5"/>
  <c r="I31" i="5"/>
  <c r="B32" i="5"/>
  <c r="C32" i="5"/>
  <c r="I32" i="5"/>
  <c r="B33" i="5"/>
  <c r="C33" i="5"/>
  <c r="I33" i="5"/>
  <c r="B34" i="5"/>
  <c r="C34" i="5"/>
  <c r="I34" i="5"/>
  <c r="B35" i="5"/>
  <c r="C35" i="5"/>
  <c r="I35" i="5"/>
  <c r="B36" i="5"/>
  <c r="C36" i="5"/>
  <c r="I36" i="5"/>
  <c r="A5" i="2"/>
  <c r="B6" i="2"/>
  <c r="C6" i="2"/>
  <c r="D6" i="2"/>
  <c r="B30" i="2"/>
  <c r="B37" i="2"/>
  <c r="B38" i="2" s="1"/>
  <c r="B39" i="2" s="1"/>
  <c r="A38" i="2"/>
  <c r="B43" i="2"/>
  <c r="B7" i="1"/>
  <c r="C10" i="1" s="1"/>
  <c r="C11" i="1"/>
  <c r="C17" i="1"/>
  <c r="A18" i="2" s="1"/>
  <c r="C18" i="1"/>
  <c r="A23" i="2" s="1"/>
  <c r="C19" i="1"/>
  <c r="D32" i="2" s="1"/>
  <c r="D33" i="2" s="1"/>
  <c r="C20" i="1"/>
  <c r="D7" i="5" s="1"/>
  <c r="C21" i="1"/>
  <c r="B36" i="1"/>
  <c r="B37" i="1"/>
  <c r="C17" i="6"/>
  <c r="D17" i="6"/>
  <c r="H8" i="6"/>
  <c r="I8" i="6"/>
  <c r="J8" i="6"/>
  <c r="K8" i="6"/>
  <c r="L8" i="6"/>
  <c r="M8" i="6"/>
  <c r="B4" i="6"/>
  <c r="B5" i="6"/>
  <c r="E12" i="6" s="1"/>
  <c r="H12" i="6" s="1"/>
  <c r="A50" i="4"/>
  <c r="E50" i="4" s="1"/>
  <c r="A49" i="4"/>
  <c r="C49" i="4" s="1"/>
  <c r="A48" i="4"/>
  <c r="A47" i="4"/>
  <c r="E47" i="4" s="1"/>
  <c r="A46" i="4"/>
  <c r="B46" i="4" s="1"/>
  <c r="A45" i="4"/>
  <c r="B45" i="4" s="1"/>
  <c r="A44" i="4"/>
  <c r="D44" i="4" s="1"/>
  <c r="A43" i="4"/>
  <c r="E43" i="4" s="1"/>
  <c r="A42" i="4"/>
  <c r="C42" i="4" s="1"/>
  <c r="A41" i="4"/>
  <c r="C41" i="4" s="1"/>
  <c r="A40" i="4"/>
  <c r="E40" i="4" s="1"/>
  <c r="A39" i="4"/>
  <c r="C39" i="4" s="1"/>
  <c r="A38" i="4"/>
  <c r="B38" i="4" s="1"/>
  <c r="A37" i="4"/>
  <c r="D37" i="4" s="1"/>
  <c r="A36" i="4"/>
  <c r="E36" i="4" s="1"/>
  <c r="A35" i="4"/>
  <c r="B35" i="4" s="1"/>
  <c r="A34" i="4"/>
  <c r="C34" i="4" s="1"/>
  <c r="A33" i="4"/>
  <c r="E33" i="4" s="1"/>
  <c r="A32" i="4"/>
  <c r="D32" i="4" s="1"/>
  <c r="A31" i="4"/>
  <c r="C31" i="4" s="1"/>
  <c r="A30" i="4"/>
  <c r="E30" i="4" s="1"/>
  <c r="A29" i="4"/>
  <c r="E29" i="4" s="1"/>
  <c r="A28" i="4"/>
  <c r="E28" i="4" s="1"/>
  <c r="A27" i="4"/>
  <c r="B27" i="4" s="1"/>
  <c r="A26" i="4"/>
  <c r="B26" i="4" s="1"/>
  <c r="A25" i="4"/>
  <c r="B25" i="4" s="1"/>
  <c r="A24" i="4"/>
  <c r="B24" i="4" s="1"/>
  <c r="A23" i="4"/>
  <c r="B23" i="4" s="1"/>
  <c r="A22" i="4"/>
  <c r="A21" i="4"/>
  <c r="A20" i="4"/>
  <c r="A19" i="4"/>
  <c r="B19" i="4" s="1"/>
  <c r="A18" i="4"/>
  <c r="B18" i="4" s="1"/>
  <c r="A17" i="4"/>
  <c r="B17" i="4" s="1"/>
  <c r="A16" i="4"/>
  <c r="B16" i="4" s="1"/>
  <c r="A15" i="4"/>
  <c r="B15" i="4" s="1"/>
  <c r="A14" i="4"/>
  <c r="B14" i="4" s="1"/>
  <c r="B4" i="4"/>
  <c r="C14" i="4" s="1"/>
  <c r="D14" i="4" s="1"/>
  <c r="D30" i="4" l="1"/>
  <c r="D40" i="4"/>
  <c r="B40" i="2"/>
  <c r="C32" i="2"/>
  <c r="C33" i="2" s="1"/>
  <c r="C12" i="1"/>
  <c r="C7" i="1" s="1"/>
  <c r="B40" i="4"/>
  <c r="C40" i="4"/>
  <c r="B32" i="2"/>
  <c r="B33" i="2" s="1"/>
  <c r="A24" i="2"/>
  <c r="C38" i="4"/>
  <c r="D8" i="5"/>
  <c r="D38" i="4"/>
  <c r="D34" i="4"/>
  <c r="E38" i="4"/>
  <c r="A19" i="2"/>
  <c r="E34" i="4"/>
  <c r="A20" i="2"/>
  <c r="E44" i="4"/>
  <c r="A22" i="2"/>
  <c r="B33" i="4"/>
  <c r="B43" i="4"/>
  <c r="B31" i="4"/>
  <c r="C33" i="4"/>
  <c r="C43" i="4"/>
  <c r="D49" i="4"/>
  <c r="D33" i="4"/>
  <c r="E41" i="4"/>
  <c r="D43" i="4"/>
  <c r="D29" i="4"/>
  <c r="E31" i="4"/>
  <c r="C46" i="4"/>
  <c r="D39" i="4"/>
  <c r="B42" i="4"/>
  <c r="D46" i="4"/>
  <c r="B30" i="4"/>
  <c r="B32" i="4"/>
  <c r="B34" i="4"/>
  <c r="E37" i="4"/>
  <c r="D42" i="4"/>
  <c r="B44" i="4"/>
  <c r="E46" i="4"/>
  <c r="C27" i="4"/>
  <c r="B7" i="4"/>
  <c r="C25" i="4" s="1"/>
  <c r="D31" i="4"/>
  <c r="C35" i="4"/>
  <c r="E49" i="4"/>
  <c r="E9" i="6"/>
  <c r="E13" i="6"/>
  <c r="I13" i="6" s="1"/>
  <c r="E10" i="6"/>
  <c r="H10" i="6" s="1"/>
  <c r="J10" i="6" s="1"/>
  <c r="L10" i="6" s="1"/>
  <c r="C30" i="4"/>
  <c r="E32" i="4"/>
  <c r="E42" i="4"/>
  <c r="C44" i="4"/>
  <c r="E11" i="6"/>
  <c r="H11" i="6" s="1"/>
  <c r="J11" i="6" s="1"/>
  <c r="L11" i="6" s="1"/>
  <c r="J12" i="6"/>
  <c r="L12" i="6" s="1"/>
  <c r="I12" i="6"/>
  <c r="E48" i="4"/>
  <c r="D48" i="4"/>
  <c r="C48" i="4"/>
  <c r="E14" i="4"/>
  <c r="B21" i="4"/>
  <c r="D27" i="4"/>
  <c r="B29" i="4"/>
  <c r="C32" i="4"/>
  <c r="D35" i="4"/>
  <c r="B37" i="4"/>
  <c r="E39" i="4"/>
  <c r="B39" i="4"/>
  <c r="B41" i="4"/>
  <c r="E45" i="4"/>
  <c r="D45" i="4"/>
  <c r="C45" i="4"/>
  <c r="B48" i="4"/>
  <c r="E27" i="4"/>
  <c r="C29" i="4"/>
  <c r="E35" i="4"/>
  <c r="C37" i="4"/>
  <c r="D41" i="4"/>
  <c r="C18" i="4"/>
  <c r="B10" i="4"/>
  <c r="B42" i="2" s="1"/>
  <c r="B20" i="4"/>
  <c r="B28" i="4"/>
  <c r="B36" i="4"/>
  <c r="C28" i="4"/>
  <c r="C36" i="4"/>
  <c r="C17" i="4"/>
  <c r="B22" i="4"/>
  <c r="D28" i="4"/>
  <c r="D36" i="4"/>
  <c r="B50" i="4"/>
  <c r="B47" i="4"/>
  <c r="C50" i="4"/>
  <c r="C47" i="4"/>
  <c r="D50" i="4"/>
  <c r="D47" i="4"/>
  <c r="B49" i="4"/>
  <c r="I11" i="6" l="1"/>
  <c r="C22" i="4"/>
  <c r="C21" i="4"/>
  <c r="C26" i="4"/>
  <c r="K13" i="6"/>
  <c r="M13" i="6" s="1"/>
  <c r="N13" i="6"/>
  <c r="O13" i="6" s="1"/>
  <c r="K11" i="6"/>
  <c r="M11" i="6" s="1"/>
  <c r="N11" i="6"/>
  <c r="O11" i="6" s="1"/>
  <c r="K12" i="6"/>
  <c r="M12" i="6" s="1"/>
  <c r="N12" i="6"/>
  <c r="O12" i="6" s="1"/>
  <c r="I9" i="6"/>
  <c r="B38" i="1"/>
  <c r="H13" i="6"/>
  <c r="J13" i="6" s="1"/>
  <c r="L13" i="6" s="1"/>
  <c r="D9" i="5"/>
  <c r="C16" i="4"/>
  <c r="C19" i="4"/>
  <c r="C24" i="4"/>
  <c r="C23" i="4"/>
  <c r="C15" i="4"/>
  <c r="D15" i="4" s="1"/>
  <c r="H9" i="6"/>
  <c r="I10" i="6"/>
  <c r="C20" i="4"/>
  <c r="N9" i="6" l="1"/>
  <c r="D22" i="6"/>
  <c r="P12" i="6"/>
  <c r="Q12" i="6"/>
  <c r="K10" i="6"/>
  <c r="M10" i="6" s="1"/>
  <c r="N10" i="6"/>
  <c r="O10" i="6" s="1"/>
  <c r="K9" i="6"/>
  <c r="P11" i="6"/>
  <c r="Q11" i="6"/>
  <c r="D10" i="5"/>
  <c r="P13" i="6"/>
  <c r="Q13" i="6"/>
  <c r="E22" i="6"/>
  <c r="O9" i="6"/>
  <c r="J9" i="6"/>
  <c r="C21" i="6"/>
  <c r="H14" i="6"/>
  <c r="C22" i="6"/>
  <c r="I14" i="6"/>
  <c r="D16" i="4"/>
  <c r="E15" i="4"/>
  <c r="D21" i="6"/>
  <c r="E21" i="6" l="1"/>
  <c r="N14" i="6"/>
  <c r="B35" i="1" s="1"/>
  <c r="K14" i="6"/>
  <c r="M9" i="6"/>
  <c r="M14" i="6" s="1"/>
  <c r="D20" i="6" s="1"/>
  <c r="P10" i="6"/>
  <c r="D23" i="2" s="1" a="1"/>
  <c r="D23" i="2" s="1"/>
  <c r="Q10" i="6"/>
  <c r="D11" i="5"/>
  <c r="O14" i="6"/>
  <c r="P9" i="6"/>
  <c r="Q9" i="6"/>
  <c r="D20" i="2" a="1"/>
  <c r="D20" i="2" s="1"/>
  <c r="C18" i="2" a="1"/>
  <c r="C18" i="2" s="1"/>
  <c r="D18" i="2" a="1"/>
  <c r="D18" i="2" s="1"/>
  <c r="B20" i="2" a="1"/>
  <c r="B20" i="2" s="1"/>
  <c r="C20" i="2" a="1"/>
  <c r="C20" i="2" s="1"/>
  <c r="B18" i="2" a="1"/>
  <c r="B18" i="2" s="1"/>
  <c r="E20" i="5" a="1"/>
  <c r="E20" i="5" s="1"/>
  <c r="E21" i="5" a="1"/>
  <c r="E21" i="5" s="1"/>
  <c r="B19" i="2" a="1"/>
  <c r="B19" i="2" s="1"/>
  <c r="E6" i="5" a="1"/>
  <c r="E6" i="5" s="1"/>
  <c r="E16" i="5" a="1"/>
  <c r="E16" i="5" s="1"/>
  <c r="E17" i="5" a="1"/>
  <c r="E17" i="5" s="1"/>
  <c r="E18" i="5" a="1"/>
  <c r="E18" i="5" s="1"/>
  <c r="E11" i="5" a="1"/>
  <c r="E11" i="5" s="1"/>
  <c r="E28" i="5" a="1"/>
  <c r="E28" i="5" s="1"/>
  <c r="E26" i="5" a="1"/>
  <c r="E26" i="5" s="1"/>
  <c r="E27" i="5" a="1"/>
  <c r="E27" i="5" s="1"/>
  <c r="C19" i="2" a="1"/>
  <c r="C19" i="2" s="1"/>
  <c r="E14" i="5" a="1"/>
  <c r="E14" i="5" s="1"/>
  <c r="E24" i="5" a="1"/>
  <c r="E24" i="5" s="1"/>
  <c r="E25" i="5" a="1"/>
  <c r="E25" i="5" s="1"/>
  <c r="E34" i="5" a="1"/>
  <c r="E34" i="5" s="1"/>
  <c r="D19" i="2" a="1"/>
  <c r="D19" i="2" s="1"/>
  <c r="E19" i="5" a="1"/>
  <c r="E19" i="5" s="1"/>
  <c r="E36" i="5" a="1"/>
  <c r="E36" i="5" s="1"/>
  <c r="E29" i="5" a="1"/>
  <c r="E29" i="5" s="1"/>
  <c r="E15" i="5" a="1"/>
  <c r="E15" i="5" s="1"/>
  <c r="E23" i="5" a="1"/>
  <c r="E23" i="5" s="1"/>
  <c r="E7" i="5" a="1"/>
  <c r="E7" i="5" s="1"/>
  <c r="E32" i="5" a="1"/>
  <c r="E32" i="5" s="1"/>
  <c r="E33" i="5" a="1"/>
  <c r="E33" i="5" s="1"/>
  <c r="E31" i="5" a="1"/>
  <c r="E31" i="5" s="1"/>
  <c r="E8" i="5" a="1"/>
  <c r="E8" i="5" s="1"/>
  <c r="E9" i="5" a="1"/>
  <c r="E9" i="5" s="1"/>
  <c r="E30" i="5" a="1"/>
  <c r="E30" i="5" s="1"/>
  <c r="E12" i="5" a="1"/>
  <c r="E12" i="5" s="1"/>
  <c r="E13" i="5" a="1"/>
  <c r="E13" i="5" s="1"/>
  <c r="E22" i="5" a="1"/>
  <c r="E22" i="5" s="1"/>
  <c r="E35" i="5" a="1"/>
  <c r="E35" i="5" s="1"/>
  <c r="E10" i="5" a="1"/>
  <c r="E10" i="5" s="1"/>
  <c r="E16" i="4"/>
  <c r="D17" i="4"/>
  <c r="J14" i="6"/>
  <c r="L9" i="6"/>
  <c r="L14" i="6" s="1"/>
  <c r="C20" i="6" s="1"/>
  <c r="B24" i="2" l="1" a="1"/>
  <c r="B24" i="2" s="1"/>
  <c r="D22" i="2" a="1"/>
  <c r="D22" i="2" s="1"/>
  <c r="C23" i="2" a="1"/>
  <c r="C23" i="2" s="1"/>
  <c r="C22" i="2" a="1"/>
  <c r="C22" i="2" s="1"/>
  <c r="B22" i="2" a="1"/>
  <c r="B22" i="2" s="1"/>
  <c r="C24" i="2" a="1"/>
  <c r="C24" i="2" s="1"/>
  <c r="B23" i="2" a="1"/>
  <c r="B23" i="2" s="1"/>
  <c r="Q14" i="6"/>
  <c r="B41" i="2" s="1"/>
  <c r="D12" i="5"/>
  <c r="D24" i="2" a="1"/>
  <c r="D24" i="2" s="1"/>
  <c r="P14" i="6"/>
  <c r="F14" i="5" a="1"/>
  <c r="F14" i="5" s="1"/>
  <c r="F15" i="5" a="1"/>
  <c r="F15" i="5" s="1"/>
  <c r="F16" i="5" a="1"/>
  <c r="F16" i="5" s="1"/>
  <c r="F9" i="5" a="1"/>
  <c r="F9" i="5" s="1"/>
  <c r="F26" i="5" a="1"/>
  <c r="F26" i="5" s="1"/>
  <c r="F28" i="5" a="1"/>
  <c r="F28" i="5" s="1"/>
  <c r="F13" i="5" a="1"/>
  <c r="F13" i="5" s="1"/>
  <c r="F12" i="5" a="1"/>
  <c r="F12" i="5" s="1"/>
  <c r="F22" i="5" a="1"/>
  <c r="F22" i="5" s="1"/>
  <c r="F23" i="5" a="1"/>
  <c r="F23" i="5" s="1"/>
  <c r="F21" i="5" a="1"/>
  <c r="F21" i="5" s="1"/>
  <c r="F29" i="5" a="1"/>
  <c r="F29" i="5" s="1"/>
  <c r="F17" i="5" a="1"/>
  <c r="F17" i="5" s="1"/>
  <c r="F34" i="5" a="1"/>
  <c r="F34" i="5" s="1"/>
  <c r="F27" i="5" a="1"/>
  <c r="F27" i="5" s="1"/>
  <c r="F33" i="5" a="1"/>
  <c r="F33" i="5" s="1"/>
  <c r="F20" i="5" a="1"/>
  <c r="F20" i="5" s="1"/>
  <c r="F30" i="5" a="1"/>
  <c r="F30" i="5" s="1"/>
  <c r="F31" i="5" a="1"/>
  <c r="F31" i="5" s="1"/>
  <c r="F24" i="5" a="1"/>
  <c r="F24" i="5" s="1"/>
  <c r="F10" i="5" a="1"/>
  <c r="F10" i="5" s="1"/>
  <c r="F11" i="5" a="1"/>
  <c r="F11" i="5" s="1"/>
  <c r="F36" i="5" a="1"/>
  <c r="F36" i="5" s="1"/>
  <c r="F25" i="5" a="1"/>
  <c r="F25" i="5" s="1"/>
  <c r="F35" i="5" a="1"/>
  <c r="F35" i="5" s="1"/>
  <c r="F18" i="5" a="1"/>
  <c r="F18" i="5" s="1"/>
  <c r="F19" i="5" a="1"/>
  <c r="F19" i="5" s="1"/>
  <c r="F6" i="5" a="1"/>
  <c r="F6" i="5" s="1"/>
  <c r="F7" i="5" a="1"/>
  <c r="F7" i="5" s="1"/>
  <c r="F8" i="5" a="1"/>
  <c r="F8" i="5" s="1"/>
  <c r="F32" i="5" a="1"/>
  <c r="F32" i="5" s="1"/>
  <c r="E18" i="6"/>
  <c r="D18" i="6"/>
  <c r="D19" i="6"/>
  <c r="C19" i="6"/>
  <c r="C18" i="6"/>
  <c r="D18" i="4"/>
  <c r="E17" i="4"/>
  <c r="E19" i="6" l="1"/>
  <c r="E20" i="6"/>
  <c r="G35" i="5"/>
  <c r="H35" i="5" s="1"/>
  <c r="G20" i="5"/>
  <c r="H20" i="5" s="1"/>
  <c r="G22" i="5"/>
  <c r="H22" i="5"/>
  <c r="G14" i="5"/>
  <c r="H14" i="5" s="1"/>
  <c r="G25" i="5"/>
  <c r="H25" i="5" s="1"/>
  <c r="G33" i="5"/>
  <c r="H33" i="5" s="1"/>
  <c r="G12" i="5"/>
  <c r="H12" i="5" s="1"/>
  <c r="G36" i="5"/>
  <c r="H36" i="5"/>
  <c r="G8" i="5"/>
  <c r="H8" i="5" s="1"/>
  <c r="G11" i="5"/>
  <c r="H11" i="5" s="1"/>
  <c r="G34" i="5"/>
  <c r="H34" i="5" s="1"/>
  <c r="G28" i="5"/>
  <c r="H28" i="5" s="1"/>
  <c r="D13" i="5"/>
  <c r="G7" i="5"/>
  <c r="H7" i="5" s="1"/>
  <c r="G10" i="5"/>
  <c r="H10" i="5" s="1"/>
  <c r="G17" i="5"/>
  <c r="H17" i="5" s="1"/>
  <c r="G26" i="5"/>
  <c r="H26" i="5" s="1"/>
  <c r="G32" i="5"/>
  <c r="H32" i="5" s="1"/>
  <c r="G13" i="5"/>
  <c r="H13" i="5" s="1"/>
  <c r="G6" i="5"/>
  <c r="H6" i="5" s="1"/>
  <c r="G9" i="5"/>
  <c r="H9" i="5" s="1"/>
  <c r="G27" i="5"/>
  <c r="H27" i="5" s="1"/>
  <c r="G24" i="5"/>
  <c r="H24" i="5" s="1"/>
  <c r="G29" i="5"/>
  <c r="H29" i="5" s="1"/>
  <c r="G19" i="5"/>
  <c r="H19" i="5" s="1"/>
  <c r="G31" i="5"/>
  <c r="H31" i="5" s="1"/>
  <c r="G21" i="5"/>
  <c r="H21" i="5" s="1"/>
  <c r="G16" i="5"/>
  <c r="H16" i="5" s="1"/>
  <c r="G18" i="5"/>
  <c r="H18" i="5" s="1"/>
  <c r="G30" i="5"/>
  <c r="H30" i="5" s="1"/>
  <c r="G23" i="5"/>
  <c r="H23" i="5" s="1"/>
  <c r="G15" i="5"/>
  <c r="H15" i="5" s="1"/>
  <c r="E18" i="4"/>
  <c r="D19" i="4"/>
  <c r="J6" i="5" l="1"/>
  <c r="O6" i="5"/>
  <c r="T6" i="5"/>
  <c r="D14" i="5"/>
  <c r="D20" i="4"/>
  <c r="E19" i="4"/>
  <c r="U6" i="5" l="1"/>
  <c r="V6" i="5" s="1"/>
  <c r="T7" i="5"/>
  <c r="W6" i="5"/>
  <c r="P6" i="5"/>
  <c r="O7" i="5"/>
  <c r="R6" i="5"/>
  <c r="D15" i="5"/>
  <c r="K6" i="5"/>
  <c r="L6" i="5" s="1"/>
  <c r="J7" i="5"/>
  <c r="M6" i="5"/>
  <c r="D21" i="4"/>
  <c r="E20" i="4"/>
  <c r="X6" i="5" l="1"/>
  <c r="U7" i="5"/>
  <c r="V7" i="5" s="1"/>
  <c r="P7" i="5"/>
  <c r="Q7" i="5" s="1"/>
  <c r="Q6" i="5"/>
  <c r="S6" i="5" s="1"/>
  <c r="O8" i="5"/>
  <c r="R7" i="5"/>
  <c r="D16" i="5"/>
  <c r="J8" i="5"/>
  <c r="M7" i="5"/>
  <c r="N6" i="5"/>
  <c r="K7" i="5"/>
  <c r="L7" i="5" s="1"/>
  <c r="T8" i="5"/>
  <c r="W7" i="5"/>
  <c r="D22" i="4"/>
  <c r="E21" i="4"/>
  <c r="U8" i="5" l="1"/>
  <c r="V8" i="5" s="1"/>
  <c r="P8" i="5"/>
  <c r="Q8" i="5" s="1"/>
  <c r="X7" i="5"/>
  <c r="S7" i="5"/>
  <c r="N7" i="5"/>
  <c r="D17" i="5"/>
  <c r="J9" i="5"/>
  <c r="M8" i="5"/>
  <c r="K8" i="5"/>
  <c r="L8" i="5" s="1"/>
  <c r="T9" i="5"/>
  <c r="W8" i="5"/>
  <c r="O9" i="5"/>
  <c r="R8" i="5"/>
  <c r="D23" i="4"/>
  <c r="E22" i="4"/>
  <c r="U9" i="5" l="1"/>
  <c r="V9" i="5" s="1"/>
  <c r="S8" i="5"/>
  <c r="P9" i="5"/>
  <c r="X8" i="5"/>
  <c r="K9" i="5"/>
  <c r="L9" i="5" s="1"/>
  <c r="T10" i="5"/>
  <c r="W9" i="5"/>
  <c r="D18" i="5"/>
  <c r="O10" i="5"/>
  <c r="R9" i="5"/>
  <c r="J10" i="5"/>
  <c r="M9" i="5"/>
  <c r="N8" i="5"/>
  <c r="D24" i="4"/>
  <c r="E23" i="4"/>
  <c r="P10" i="5" l="1"/>
  <c r="U10" i="5"/>
  <c r="K10" i="5"/>
  <c r="L10" i="5" s="1"/>
  <c r="Q9" i="5"/>
  <c r="S9" i="5" s="1"/>
  <c r="N9" i="5"/>
  <c r="X9" i="5"/>
  <c r="D19" i="5"/>
  <c r="J11" i="5"/>
  <c r="M10" i="5"/>
  <c r="Q10" i="5"/>
  <c r="O11" i="5"/>
  <c r="R10" i="5"/>
  <c r="T11" i="5"/>
  <c r="U11" i="5" s="1"/>
  <c r="V10" i="5"/>
  <c r="W10" i="5"/>
  <c r="E24" i="4"/>
  <c r="D25" i="4"/>
  <c r="K11" i="5" l="1"/>
  <c r="N10" i="5"/>
  <c r="S10" i="5"/>
  <c r="J12" i="5"/>
  <c r="L11" i="5"/>
  <c r="K12" i="5"/>
  <c r="M11" i="5"/>
  <c r="T12" i="5"/>
  <c r="U12" i="5" s="1"/>
  <c r="V11" i="5"/>
  <c r="W11" i="5"/>
  <c r="O12" i="5"/>
  <c r="R11" i="5"/>
  <c r="D20" i="5"/>
  <c r="P11" i="5"/>
  <c r="Q11" i="5" s="1"/>
  <c r="X10" i="5"/>
  <c r="D26" i="4"/>
  <c r="E26" i="4" s="1"/>
  <c r="E25" i="4"/>
  <c r="N11" i="5" l="1"/>
  <c r="P12" i="5"/>
  <c r="Q12" i="5" s="1"/>
  <c r="S11" i="5"/>
  <c r="X11" i="5"/>
  <c r="T13" i="5"/>
  <c r="U13" i="5" s="1"/>
  <c r="V12" i="5"/>
  <c r="W12" i="5"/>
  <c r="D21" i="5"/>
  <c r="O13" i="5"/>
  <c r="R12" i="5"/>
  <c r="J13" i="5"/>
  <c r="L12" i="5"/>
  <c r="M12" i="5"/>
  <c r="P13" i="5" l="1"/>
  <c r="Q13" i="5" s="1"/>
  <c r="X12" i="5"/>
  <c r="S12" i="5"/>
  <c r="J14" i="5"/>
  <c r="M13" i="5"/>
  <c r="D22" i="5"/>
  <c r="O14" i="5"/>
  <c r="R13" i="5"/>
  <c r="V13" i="5"/>
  <c r="T14" i="5"/>
  <c r="U14" i="5" s="1"/>
  <c r="W13" i="5"/>
  <c r="N12" i="5"/>
  <c r="K13" i="5"/>
  <c r="L13" i="5" s="1"/>
  <c r="S13" i="5" l="1"/>
  <c r="O15" i="5"/>
  <c r="R14" i="5"/>
  <c r="P14" i="5"/>
  <c r="Q14" i="5" s="1"/>
  <c r="K14" i="5"/>
  <c r="L14" i="5" s="1"/>
  <c r="D23" i="5"/>
  <c r="N13" i="5"/>
  <c r="T15" i="5"/>
  <c r="U15" i="5" s="1"/>
  <c r="V14" i="5"/>
  <c r="W14" i="5"/>
  <c r="X13" i="5"/>
  <c r="J15" i="5"/>
  <c r="M14" i="5"/>
  <c r="O16" i="5" l="1"/>
  <c r="R15" i="5"/>
  <c r="X14" i="5"/>
  <c r="J16" i="5"/>
  <c r="M15" i="5"/>
  <c r="N14" i="5"/>
  <c r="T16" i="5"/>
  <c r="U16" i="5" s="1"/>
  <c r="V15" i="5"/>
  <c r="W15" i="5"/>
  <c r="S14" i="5"/>
  <c r="K15" i="5"/>
  <c r="L15" i="5" s="1"/>
  <c r="P15" i="5"/>
  <c r="Q15" i="5" s="1"/>
  <c r="D24" i="5"/>
  <c r="X15" i="5" l="1"/>
  <c r="K16" i="5"/>
  <c r="L16" i="5" s="1"/>
  <c r="S15" i="5"/>
  <c r="V16" i="5"/>
  <c r="T17" i="5"/>
  <c r="U17" i="5" s="1"/>
  <c r="W16" i="5"/>
  <c r="P16" i="5"/>
  <c r="Q16" i="5" s="1"/>
  <c r="J17" i="5"/>
  <c r="M16" i="5"/>
  <c r="D25" i="5"/>
  <c r="N15" i="5"/>
  <c r="O17" i="5"/>
  <c r="R16" i="5"/>
  <c r="D26" i="5" l="1"/>
  <c r="S16" i="5"/>
  <c r="B11" i="2" s="1"/>
  <c r="B8" i="2"/>
  <c r="P17" i="5"/>
  <c r="N16" i="5"/>
  <c r="B10" i="2" s="1"/>
  <c r="B7" i="2"/>
  <c r="J18" i="5"/>
  <c r="M17" i="5"/>
  <c r="X16" i="5"/>
  <c r="B12" i="2" s="1"/>
  <c r="B9" i="2"/>
  <c r="K17" i="5"/>
  <c r="L17" i="5" s="1"/>
  <c r="T18" i="5"/>
  <c r="U18" i="5" s="1"/>
  <c r="V17" i="5"/>
  <c r="W17" i="5"/>
  <c r="O18" i="5"/>
  <c r="R17" i="5"/>
  <c r="P18" i="5" l="1"/>
  <c r="Q18" i="5" s="1"/>
  <c r="Q17" i="5"/>
  <c r="S17" i="5" s="1"/>
  <c r="X17" i="5"/>
  <c r="O19" i="5"/>
  <c r="R18" i="5"/>
  <c r="K18" i="5"/>
  <c r="L18" i="5" s="1"/>
  <c r="T19" i="5"/>
  <c r="U19" i="5" s="1"/>
  <c r="V18" i="5"/>
  <c r="W18" i="5"/>
  <c r="J19" i="5"/>
  <c r="M18" i="5"/>
  <c r="D27" i="5"/>
  <c r="N17" i="5"/>
  <c r="S18" i="5" l="1"/>
  <c r="D28" i="5"/>
  <c r="X18" i="5"/>
  <c r="O20" i="5"/>
  <c r="R19" i="5"/>
  <c r="N18" i="5"/>
  <c r="P19" i="5"/>
  <c r="Q19" i="5" s="1"/>
  <c r="J20" i="5"/>
  <c r="M19" i="5"/>
  <c r="K19" i="5"/>
  <c r="T20" i="5"/>
  <c r="V19" i="5"/>
  <c r="U20" i="5"/>
  <c r="W19" i="5"/>
  <c r="X19" i="5" l="1"/>
  <c r="K20" i="5"/>
  <c r="P20" i="5"/>
  <c r="Q20" i="5" s="1"/>
  <c r="O21" i="5"/>
  <c r="R20" i="5"/>
  <c r="L19" i="5"/>
  <c r="N19" i="5" s="1"/>
  <c r="J21" i="5"/>
  <c r="K21" i="5" s="1"/>
  <c r="L20" i="5"/>
  <c r="M20" i="5"/>
  <c r="V20" i="5"/>
  <c r="T21" i="5"/>
  <c r="U21" i="5" s="1"/>
  <c r="W20" i="5"/>
  <c r="S19" i="5"/>
  <c r="D29" i="5"/>
  <c r="P21" i="5" l="1"/>
  <c r="Q21" i="5" s="1"/>
  <c r="X20" i="5"/>
  <c r="D30" i="5"/>
  <c r="V21" i="5"/>
  <c r="T22" i="5"/>
  <c r="W21" i="5"/>
  <c r="S20" i="5"/>
  <c r="J22" i="5"/>
  <c r="K22" i="5" s="1"/>
  <c r="L21" i="5"/>
  <c r="M21" i="5"/>
  <c r="N20" i="5"/>
  <c r="O22" i="5"/>
  <c r="R21" i="5"/>
  <c r="P22" i="5" l="1"/>
  <c r="Q22" i="5" s="1"/>
  <c r="X21" i="5"/>
  <c r="N21" i="5"/>
  <c r="T23" i="5"/>
  <c r="W22" i="5"/>
  <c r="U22" i="5"/>
  <c r="V22" i="5" s="1"/>
  <c r="D31" i="5"/>
  <c r="S21" i="5"/>
  <c r="J23" i="5"/>
  <c r="K23" i="5" s="1"/>
  <c r="L22" i="5"/>
  <c r="M22" i="5"/>
  <c r="O23" i="5"/>
  <c r="R22" i="5"/>
  <c r="N22" i="5" l="1"/>
  <c r="D32" i="5"/>
  <c r="O24" i="5"/>
  <c r="R23" i="5"/>
  <c r="T24" i="5"/>
  <c r="W23" i="5"/>
  <c r="L23" i="5"/>
  <c r="J24" i="5"/>
  <c r="M23" i="5"/>
  <c r="U23" i="5"/>
  <c r="V23" i="5" s="1"/>
  <c r="P23" i="5"/>
  <c r="Q23" i="5" s="1"/>
  <c r="X22" i="5"/>
  <c r="S22" i="5"/>
  <c r="N23" i="5" l="1"/>
  <c r="P24" i="5"/>
  <c r="S23" i="5"/>
  <c r="J25" i="5"/>
  <c r="M24" i="5"/>
  <c r="O25" i="5"/>
  <c r="R24" i="5"/>
  <c r="T25" i="5"/>
  <c r="W24" i="5"/>
  <c r="X23" i="5"/>
  <c r="U24" i="5"/>
  <c r="V24" i="5" s="1"/>
  <c r="K24" i="5"/>
  <c r="L24" i="5" s="1"/>
  <c r="D33" i="5"/>
  <c r="P25" i="5" l="1"/>
  <c r="Q24" i="5"/>
  <c r="S24" i="5" s="1"/>
  <c r="X24" i="5"/>
  <c r="N24" i="5"/>
  <c r="T26" i="5"/>
  <c r="W25" i="5"/>
  <c r="K25" i="5"/>
  <c r="L25" i="5" s="1"/>
  <c r="Q25" i="5"/>
  <c r="O26" i="5"/>
  <c r="P26" i="5" s="1"/>
  <c r="R25" i="5"/>
  <c r="U25" i="5"/>
  <c r="V25" i="5" s="1"/>
  <c r="D34" i="5"/>
  <c r="J26" i="5"/>
  <c r="M25" i="5"/>
  <c r="J27" i="5" l="1"/>
  <c r="M26" i="5"/>
  <c r="D35" i="5"/>
  <c r="X25" i="5"/>
  <c r="N25" i="5"/>
  <c r="K26" i="5"/>
  <c r="L26" i="5" s="1"/>
  <c r="U26" i="5"/>
  <c r="V26" i="5" s="1"/>
  <c r="T27" i="5"/>
  <c r="W26" i="5"/>
  <c r="S25" i="5"/>
  <c r="Q26" i="5"/>
  <c r="O27" i="5"/>
  <c r="R26" i="5"/>
  <c r="U27" i="5" l="1"/>
  <c r="V27" i="5" s="1"/>
  <c r="D36" i="5"/>
  <c r="O28" i="5"/>
  <c r="R27" i="5"/>
  <c r="C7" i="2"/>
  <c r="N26" i="5"/>
  <c r="C10" i="2" s="1"/>
  <c r="S26" i="5"/>
  <c r="C11" i="2" s="1"/>
  <c r="C8" i="2"/>
  <c r="P27" i="5"/>
  <c r="Q27" i="5" s="1"/>
  <c r="K27" i="5"/>
  <c r="J28" i="5"/>
  <c r="M27" i="5"/>
  <c r="C9" i="2"/>
  <c r="X26" i="5"/>
  <c r="C12" i="2" s="1"/>
  <c r="T28" i="5"/>
  <c r="W27" i="5"/>
  <c r="S27" i="5" l="1"/>
  <c r="K28" i="5"/>
  <c r="L28" i="5" s="1"/>
  <c r="U28" i="5"/>
  <c r="V28" i="5" s="1"/>
  <c r="P28" i="5"/>
  <c r="Q28" i="5" s="1"/>
  <c r="L27" i="5"/>
  <c r="N27" i="5" s="1"/>
  <c r="T29" i="5"/>
  <c r="U29" i="5" s="1"/>
  <c r="W28" i="5"/>
  <c r="X27" i="5"/>
  <c r="O29" i="5"/>
  <c r="R28" i="5"/>
  <c r="J29" i="5"/>
  <c r="M28" i="5"/>
  <c r="P29" i="5" l="1"/>
  <c r="Q29" i="5" s="1"/>
  <c r="S28" i="5"/>
  <c r="J30" i="5"/>
  <c r="M29" i="5"/>
  <c r="V29" i="5"/>
  <c r="T30" i="5"/>
  <c r="W29" i="5"/>
  <c r="N28" i="5"/>
  <c r="X28" i="5"/>
  <c r="O30" i="5"/>
  <c r="R29" i="5"/>
  <c r="K29" i="5"/>
  <c r="K30" i="5" s="1"/>
  <c r="P30" i="5" l="1"/>
  <c r="Q30" i="5" s="1"/>
  <c r="S29" i="5"/>
  <c r="T31" i="5"/>
  <c r="W30" i="5"/>
  <c r="U30" i="5"/>
  <c r="V30" i="5" s="1"/>
  <c r="L30" i="5"/>
  <c r="J31" i="5"/>
  <c r="K31" i="5" s="1"/>
  <c r="M30" i="5"/>
  <c r="O31" i="5"/>
  <c r="R30" i="5"/>
  <c r="L29" i="5"/>
  <c r="N29" i="5" s="1"/>
  <c r="X29" i="5"/>
  <c r="S30" i="5" l="1"/>
  <c r="O32" i="5"/>
  <c r="Q31" i="5"/>
  <c r="R31" i="5"/>
  <c r="X30" i="5"/>
  <c r="N30" i="5"/>
  <c r="U31" i="5"/>
  <c r="V31" i="5" s="1"/>
  <c r="P31" i="5"/>
  <c r="L31" i="5"/>
  <c r="J32" i="5"/>
  <c r="K32" i="5" s="1"/>
  <c r="M31" i="5"/>
  <c r="T32" i="5"/>
  <c r="W31" i="5"/>
  <c r="N31" i="5" l="1"/>
  <c r="U32" i="5"/>
  <c r="P32" i="5"/>
  <c r="Q32" i="5" s="1"/>
  <c r="J33" i="5"/>
  <c r="L32" i="5"/>
  <c r="K33" i="5"/>
  <c r="M32" i="5"/>
  <c r="S31" i="5"/>
  <c r="T33" i="5"/>
  <c r="V32" i="5"/>
  <c r="W32" i="5"/>
  <c r="X31" i="5"/>
  <c r="O33" i="5"/>
  <c r="R32" i="5"/>
  <c r="N32" i="5" l="1"/>
  <c r="P33" i="5"/>
  <c r="Q33" i="5" s="1"/>
  <c r="U33" i="5"/>
  <c r="V33" i="5" s="1"/>
  <c r="S32" i="5"/>
  <c r="T34" i="5"/>
  <c r="W33" i="5"/>
  <c r="O34" i="5"/>
  <c r="R33" i="5"/>
  <c r="X32" i="5"/>
  <c r="J34" i="5"/>
  <c r="K34" i="5" s="1"/>
  <c r="L33" i="5"/>
  <c r="M33" i="5"/>
  <c r="P34" i="5" l="1"/>
  <c r="Q34" i="5" s="1"/>
  <c r="X33" i="5"/>
  <c r="O35" i="5"/>
  <c r="R34" i="5"/>
  <c r="L34" i="5"/>
  <c r="J35" i="5"/>
  <c r="K35" i="5" s="1"/>
  <c r="M34" i="5"/>
  <c r="T35" i="5"/>
  <c r="W34" i="5"/>
  <c r="U34" i="5"/>
  <c r="N33" i="5"/>
  <c r="S33" i="5"/>
  <c r="U35" i="5" l="1"/>
  <c r="V35" i="5" s="1"/>
  <c r="P35" i="5"/>
  <c r="Q35" i="5" s="1"/>
  <c r="N34" i="5"/>
  <c r="V34" i="5"/>
  <c r="X34" i="5" s="1"/>
  <c r="L35" i="5"/>
  <c r="J36" i="5"/>
  <c r="M35" i="5"/>
  <c r="S34" i="5"/>
  <c r="T36" i="5"/>
  <c r="U36" i="5" s="1"/>
  <c r="W35" i="5"/>
  <c r="O36" i="5"/>
  <c r="R35" i="5"/>
  <c r="S35" i="5" l="1"/>
  <c r="X35" i="5"/>
  <c r="R36" i="5"/>
  <c r="M36" i="5"/>
  <c r="K36" i="5"/>
  <c r="L36" i="5" s="1"/>
  <c r="V36" i="5"/>
  <c r="W36" i="5"/>
  <c r="P36" i="5"/>
  <c r="Q36" i="5" s="1"/>
  <c r="N35" i="5"/>
  <c r="X36" i="5" l="1"/>
  <c r="D12" i="2" s="1"/>
  <c r="D9" i="2"/>
  <c r="D7" i="2"/>
  <c r="N36" i="5"/>
  <c r="D10" i="2" s="1"/>
  <c r="S36" i="5"/>
  <c r="D11" i="2" s="1"/>
  <c r="D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22" authorId="0" shapeId="0" xr:uid="{00000000-0006-0000-0000-000001000000}">
      <text>
        <r>
          <rPr>
            <sz val="10"/>
            <rFont val="Arial"/>
            <family val="2"/>
          </rPr>
          <t>Annahme: wird benötigt, um nominale Gewinne für die 26 %-Steuer zu schätzen.</t>
        </r>
      </text>
    </comment>
    <comment ref="B26" authorId="0" shapeId="0" xr:uid="{00000000-0006-0000-0000-000002000000}">
      <text>
        <r>
          <rPr>
            <sz val="10"/>
            <rFont val="Arial"/>
            <family val="2"/>
          </rPr>
          <t>0 % = Variante A (alles verbraucht), 100 % = Variante B (alles reinvestiert), dazwischen = Mischung</t>
        </r>
      </text>
    </comment>
    <comment ref="B27" authorId="0" shapeId="0" xr:uid="{00000000-0006-0000-0000-000003000000}">
      <text>
        <r>
          <rPr>
            <sz val="10"/>
            <rFont val="Arial"/>
            <family val="2"/>
          </rPr>
          <t>Laufende Entnahme in heutiger Kaufkraft.</t>
        </r>
      </text>
    </comment>
    <comment ref="B30" authorId="0" shapeId="0" xr:uid="{00000000-0006-0000-0000-000004000000}">
      <text>
        <r>
          <rPr>
            <sz val="10"/>
            <rFont val="Arial"/>
            <family val="2"/>
          </rPr>
          <t>0,2 % p.a. auf den Depotwert (Italien)</t>
        </r>
      </text>
    </comment>
    <comment ref="B31" authorId="0" shapeId="0" xr:uid="{00000000-0006-0000-0000-000005000000}">
      <text>
        <r>
          <rPr>
            <sz val="10"/>
            <rFont val="Arial"/>
            <family val="2"/>
          </rPr>
          <t>26 % imposta sostitutiva auf ETF-Gewinne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28" authorId="0" shapeId="0" xr:uid="{00000000-0006-0000-0100-000001000000}">
      <text>
        <r>
          <rPr>
            <sz val="10"/>
            <rFont val="Arial"/>
            <family val="2"/>
          </rPr>
          <t>Unabhängig von der Entnahme in „Eingaben“, nur für diesen Vergleich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Markus Tschaffler</author>
  </authors>
  <commentList>
    <comment ref="G9" authorId="0" shapeId="0" xr:uid="{462C0619-05A6-4F5C-BD28-B2E5C824E7D7}">
      <text>
        <r>
          <rPr>
            <b/>
            <sz val="9"/>
            <color indexed="81"/>
            <rFont val="Segoe UI"/>
            <charset val="1"/>
          </rPr>
          <t>Source: btpoggi.it (Drittanbieter, Daten Borsa Italiana), BTP Scadenz 2027, Kurs 103,35, Rendite netto 2,47 %, abgerufen 10.10.2026 (Stand letzter Börsentag 09.10.2026). https://btpoggi.it/btp/scadenza/2027/ · Hinweis: Kurs über pari, Aufschlag nicht steuerlich absetzbar; andere Seiten weisen höhere Werte aus (z. B. 2,75 %).</t>
        </r>
      </text>
    </comment>
    <comment ref="G10" authorId="0" shapeId="0" xr:uid="{97062DE1-97CB-4CC9-BF21-F1930E6CA086}">
      <text>
        <r>
          <rPr>
            <b/>
            <sz val="9"/>
            <color indexed="81"/>
            <rFont val="Segoe UI"/>
            <charset val="1"/>
          </rPr>
          <t>Source: btpoggi.it (Drittanbieter, Daten Borsa Italiana), BTP Scadenz 2028, Kurs 100,68, Rendite netto 2,94 %, abgerufen 10.10.2026. https://btpoggi.it/btp/scadenza/2028/</t>
        </r>
      </text>
    </comment>
    <comment ref="G11" authorId="0" shapeId="0" xr:uid="{8085EFE9-2A87-4451-A6FB-55FC7DB30B78}">
      <text>
        <r>
          <rPr>
            <b/>
            <sz val="9"/>
            <color indexed="81"/>
            <rFont val="Segoe UI"/>
            <charset val="1"/>
          </rPr>
          <t>Source: btpoggi.it (Drittanbieter, Daten Borsa Italiana), BTP Scadenz 2029, Kurs 98,15, Rendite netto 3,21 %, abgerufen 10.10.2026. https://btpoggi.it/btp/scadenza/2029/</t>
        </r>
      </text>
    </comment>
    <comment ref="G12" authorId="0" shapeId="0" xr:uid="{0B29F41F-83D0-4E2D-9977-D9B8D52199FE}">
      <text>
        <r>
          <rPr>
            <b/>
            <sz val="9"/>
            <color indexed="81"/>
            <rFont val="Segoe UI"/>
            <charset val="1"/>
          </rPr>
          <t>Kurs: Teleborsa (Daten Borsa Italiana), 95,91 am 09.10.2026, Bruttorendite 3,93 %. https://www.teleborsa.it/obbligazioni-titoli-di-stato/btp-fx-2-7percent-oct30-eur-it0005654642-it0005654642-SVQwMDA1NjU0NjQy · Rendite netto 3,37 % selbst berechnet (12,5 % Steuer auf Kupons und Kursgewinn, Abrechnung 12.10.2026); gleiche Methode liefert für die anderen Titel Werte innerhalb ca. 0,03 %-Punkten von btpoggi.it. Kein Originalwert einer Quelle.</t>
        </r>
      </text>
    </comment>
    <comment ref="G13" authorId="0" shapeId="0" xr:uid="{9AD977B6-078F-4D5D-9122-926F51938702}">
      <text>
        <r>
          <rPr>
            <b/>
            <sz val="9"/>
            <color indexed="81"/>
            <rFont val="Segoe UI"/>
            <charset val="1"/>
          </rPr>
          <t>Source: btpoggi.it (Drittanbieter, Daten Borsa Italiana), BTP Scadenz 2031, Kurs 96,09, Rendite netto 3,51 %, abgerufen 10.10.2026. https://btpoggi.it/btp/scadenza/2031/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<sst xmlns="http://schemas.openxmlformats.org/spreadsheetml/2006/main" count="184" uniqueCount="168">
  <si>
    <t>Drei-Töpfe-Anlagestrategie · Rechner</t>
  </si>
  <si>
    <t>Alle Werte in heutiger Kaufkraft (real).</t>
  </si>
  <si>
    <t>Legende:</t>
  </si>
  <si>
    <t>Eingabe</t>
  </si>
  <si>
    <t>Formel</t>
  </si>
  <si>
    <t>Grün = Verweis auf anderes Blatt. Nur gelbe Zellen ändern.</t>
  </si>
  <si>
    <t>1 · Grunddaten</t>
  </si>
  <si>
    <t>Größe</t>
  </si>
  <si>
    <t>Betrag</t>
  </si>
  <si>
    <t>Anteil</t>
  </si>
  <si>
    <t>Hinweis</t>
  </si>
  <si>
    <t>Gesamtvermögen</t>
  </si>
  <si>
    <t>Summe der drei Töpfe</t>
  </si>
  <si>
    <t>Startjahr</t>
  </si>
  <si>
    <t>Jahr der Anlage; Fälligkeitsjahre der Anleihen werden darauf bezogen</t>
  </si>
  <si>
    <t>Alter heute</t>
  </si>
  <si>
    <t>Für die Altersangaben in den Ergebnissen</t>
  </si>
  <si>
    <t>Topf 1 · Liquiditätsreserve</t>
  </si>
  <si>
    <t>Geldmarkt-ETF (Xtrackers EUR Overnight Rate Swap)</t>
  </si>
  <si>
    <t>Topf 2 · Zinsleiter</t>
  </si>
  <si>
    <t>Topf 3 · Wachstum (Aktien-ETF)</t>
  </si>
  <si>
    <t>Vanguard FTSE Global All-Cap; Kaufplan im Blatt „Einstieg“</t>
  </si>
  <si>
    <t>2 · Renditen pro Jahr nach Inflation</t>
  </si>
  <si>
    <t>Szenario / Topf</t>
  </si>
  <si>
    <t>wirksam</t>
  </si>
  <si>
    <t>Hinweis  ·  „wirksam“ = Eingabe abzüglich Stempelsteuer, falls aktiviert</t>
  </si>
  <si>
    <t>Aktien-ETF · Vorsichtig</t>
  </si>
  <si>
    <t>Lange schwache Phasen (Japan nach 1990, Europa 2000–2012)</t>
  </si>
  <si>
    <t>Aktien-ETF · Mittel</t>
  </si>
  <si>
    <t>Grob der langfristige Durchschnitt globaler Aktien nach Inflation</t>
  </si>
  <si>
    <t>Aktien-ETF · Gut</t>
  </si>
  <si>
    <t>Ähnlich den starken Jahrzehnten der Vergangenheit</t>
  </si>
  <si>
    <t>Liquidität</t>
  </si>
  <si>
    <t>Zins ≈ Inflation</t>
  </si>
  <si>
    <t>Zinsleiter</t>
  </si>
  <si>
    <t>Rund 0,5 % real pro Jahr</t>
  </si>
  <si>
    <t>Inflation (nur für die Steuerberechnung)</t>
  </si>
  <si>
    <t>Annahme für die Schätzung der Steuer beim Verkauf</t>
  </si>
  <si>
    <t>3 · Verwendung, Entnahmen, Kosten</t>
  </si>
  <si>
    <t>Wert</t>
  </si>
  <si>
    <t>Anteil fälliger Zinsleiter, der in den ETF fließt</t>
  </si>
  <si>
    <t>0 % = Variante A · 100 % = Variante B</t>
  </si>
  <si>
    <t>Monatliche Entnahme aus dem Aktien-ETF</t>
  </si>
  <si>
    <t>0 = keine Entnahme</t>
  </si>
  <si>
    <t>Entnahme von Jahr / bis Jahr</t>
  </si>
  <si>
    <t>Jahre ab Start (1 = erstes Jahr)</t>
  </si>
  <si>
    <t>Stempelsteuer berücksichtigen (Ja/Nein)</t>
  </si>
  <si>
    <t>Nein</t>
  </si>
  <si>
    <t>Stempelsteuer (imposta di bollo) pro Jahr</t>
  </si>
  <si>
    <t>Steuer auf Gewinne beim Verkauf</t>
  </si>
  <si>
    <t>Wird als latente Steuer ausgewiesen (Blatt „Entwicklung“)</t>
  </si>
  <si>
    <t>Kurssturz-Test für Topf 3</t>
  </si>
  <si>
    <t>Einmaliger Rückgang des Aktien-ETF</t>
  </si>
  <si>
    <t>4 · Kontrollen</t>
  </si>
  <si>
    <t>Alle Töpfe ≥ 0 und Anteile der Zinsleiter = 100 %</t>
  </si>
  <si>
    <t>Anteil Zinsleiter → ETF zwischen 0 und 100 %</t>
  </si>
  <si>
    <t>Entnahmezeitraum gültig</t>
  </si>
  <si>
    <t>Alle Anleihen werden innerhalb von 30 Jahren fällig</t>
  </si>
  <si>
    <t>Ergebnisse nach 10, 20 und 30 Jahren</t>
  </si>
  <si>
    <t>Rechenbeispiele, keine Prognose. In heutiger Kaufkraft. Tatsächliche Renditen schwanken stark von Jahr zu Jahr.</t>
  </si>
  <si>
    <t>A · Ihre Einstellung (Blatt „Eingaben“)</t>
  </si>
  <si>
    <t>Szenario</t>
  </si>
  <si>
    <t>Vorsichtig · vor Steuer</t>
  </si>
  <si>
    <t>Mittel · vor Steuer</t>
  </si>
  <si>
    <t>Gut · vor Steuer</t>
  </si>
  <si>
    <t>Vorsichtig · nach 26 % Steuer bei Verkauf</t>
  </si>
  <si>
    <t>Mittel · nach 26 % Steuer bei Verkauf</t>
  </si>
  <si>
    <t>Gut · nach 26 % Steuer bei Verkauf</t>
  </si>
  <si>
    <t>Steuer: 26 % auf den nominalen Gewinn im Aktien-ETF, Inflation laut Eingabe. Liquidität und Anleihen ohne Steuer gerechnet.</t>
  </si>
  <si>
    <t>B · Variante A und B im Vergleich (ohne Entnahmen, vor Steuern)</t>
  </si>
  <si>
    <t>10 Jahre</t>
  </si>
  <si>
    <t>20 Jahre</t>
  </si>
  <si>
    <t>30 Jahre</t>
  </si>
  <si>
    <t>Variante A · Zinsleiter wird verbraucht</t>
  </si>
  <si>
    <t>Variante B · Zinsleiter fließt in den Aktien-ETF</t>
  </si>
  <si>
    <t>Die meisten Wege liegen zwischen beiden Varianten: Ein Teil der Zinsleiter wird gebraucht, der Rest bleibt investiert.</t>
  </si>
  <si>
    <t>C · Was dauerhafte Entnahmen kosten</t>
  </si>
  <si>
    <t>Monatliche Entnahme (Test)</t>
  </si>
  <si>
    <t>Dauer in Jahren</t>
  </si>
  <si>
    <t>Insgesamt entnommen</t>
  </si>
  <si>
    <t>Vorsichtig</t>
  </si>
  <si>
    <t>Mittel</t>
  </si>
  <si>
    <t>Gut</t>
  </si>
  <si>
    <t>Rendite (wirksam)</t>
  </si>
  <si>
    <t>Fehlbetrag am Ende (Endwert der Entnahmen)</t>
  </si>
  <si>
    <t>Weil das entnommene Geld nicht mehr mitwächst, fehlt am Ende deutlich mehr als die Summe der Entnahmen.</t>
  </si>
  <si>
    <t>D · Kurssturz und laufender Ertrag</t>
  </si>
  <si>
    <t>Topf 3 vorher</t>
  </si>
  <si>
    <t>Gesamtvermögen nach Kurssturz</t>
  </si>
  <si>
    <t>Rückgang des Gesamtvermögens</t>
  </si>
  <si>
    <t>Ertrag Zinsleiter netto pro Jahr</t>
  </si>
  <si>
    <t>Laufende ETF-Kosten pro Jahr</t>
  </si>
  <si>
    <t>Abgesichert in Topf 1 + 2</t>
  </si>
  <si>
    <t>Stufe</t>
  </si>
  <si>
    <t>Anleihe</t>
  </si>
  <si>
    <t>ISIN</t>
  </si>
  <si>
    <t>Fällig</t>
  </si>
  <si>
    <t>Betrag €</t>
  </si>
  <si>
    <t>Rendite netto</t>
  </si>
  <si>
    <t>Ertrag / Jahr €</t>
  </si>
  <si>
    <t>Fällig nach Jahren</t>
  </si>
  <si>
    <t>IT0001174611</t>
  </si>
  <si>
    <t>IT0005548315</t>
  </si>
  <si>
    <t>IT0005611055</t>
  </si>
  <si>
    <t>IT0005654642</t>
  </si>
  <si>
    <t>IT0005619546</t>
  </si>
  <si>
    <t>Summe</t>
  </si>
  <si>
    <t>Topf 3 · Einstieg in den Aktien-ETF</t>
  </si>
  <si>
    <t>Vanguard FTSE Global All-Cap · ISIN IE000VAHT5T0 · Bis zum Kauf parkt der Rest im Geldmarkt-ETF.</t>
  </si>
  <si>
    <t>Betrag Topf 3</t>
  </si>
  <si>
    <t>Sofort investiert</t>
  </si>
  <si>
    <t>Anzahl Monatsraten</t>
  </si>
  <si>
    <t>Monatsrate</t>
  </si>
  <si>
    <t>Erster Kauf (Datum)</t>
  </si>
  <si>
    <t>TER des ETF</t>
  </si>
  <si>
    <t>Laufende Kosten pro Jahr (voll investiert)</t>
  </si>
  <si>
    <t>Die Hochrechnung rechnet den Einstieg vereinfacht als Einmalanlage.</t>
  </si>
  <si>
    <t>Kauf Nr.</t>
  </si>
  <si>
    <t>Datum</t>
  </si>
  <si>
    <t>Kauf €</t>
  </si>
  <si>
    <t>Investiert kumuliert €</t>
  </si>
  <si>
    <t>Noch im Geldmarkt-ETF €</t>
  </si>
  <si>
    <t>Entwicklung Jahr für Jahr</t>
  </si>
  <si>
    <t>Werte in heutiger Kaufkraft. Jahresende-Werte; Zinsleiter-Rückzahlungen und Entnahmen am Ende des Jahres. Steuer = latente 26 % auf den nominalen Gewinn im Aktien-ETF, falls alles verkauft würde.</t>
  </si>
  <si>
    <t>Gemeinsam</t>
  </si>
  <si>
    <t>Vorsichtig (Rendite real: siehe Eingaben)</t>
  </si>
  <si>
    <t>Mittel (Rendite real: siehe Eingaben)</t>
  </si>
  <si>
    <t>Gut (Rendite real: siehe Eingaben)</t>
  </si>
  <si>
    <t>Jahr</t>
  </si>
  <si>
    <t>Kalenderjahr</t>
  </si>
  <si>
    <t>Alter</t>
  </si>
  <si>
    <t>Topf 1 Liquidität</t>
  </si>
  <si>
    <t>Topf 2 Zinsleiter (offen)</t>
  </si>
  <si>
    <t>Fällig in diesem Jahr</t>
  </si>
  <si>
    <t>→ in den ETF</t>
  </si>
  <si>
    <t>→ verbraucht</t>
  </si>
  <si>
    <t>Entnahme aus ETF</t>
  </si>
  <si>
    <t>Aktien-ETF</t>
  </si>
  <si>
    <t>Einstand nominal</t>
  </si>
  <si>
    <t>Latente Steuer (real)</t>
  </si>
  <si>
    <t>Gesamt nach Steuer</t>
  </si>
  <si>
    <t>Topf 2 · Zinsleiter-Varianten auf 3 und 5 Jahre</t>
  </si>
  <si>
    <t>Gleichmäßige Aufteilung auf die Stufen bis zur gewählten Laufzeit. Renditen netto nach 12,5 % Steuer, ohne Bollo und Spesen. Quellen: Drittanbieter (siehe Notizen in Spalte G) – vor dem Kauf Kurse beim Broker prüfen.</t>
  </si>
  <si>
    <t>Betrag Topf 2</t>
  </si>
  <si>
    <t>Stand der Renditen</t>
  </si>
  <si>
    <t>Laufzeit (Jahre)</t>
  </si>
  <si>
    <t>Kurs</t>
  </si>
  <si>
    <t>BTP 6,50 % Nov 2027</t>
  </si>
  <si>
    <t>BTP 3,80 % Aug 2028</t>
  </si>
  <si>
    <t>BTP 3,00 % Okt 2029</t>
  </si>
  <si>
    <t>BTP 2,70 % Okt 2030</t>
  </si>
  <si>
    <t>BTP 3,15 % Nov 2031</t>
  </si>
  <si>
    <t>Vergleich</t>
  </si>
  <si>
    <t>Kennzahl</t>
  </si>
  <si>
    <t>Ø Rendite netto</t>
  </si>
  <si>
    <t>Ø Laufzeit (gewichtet, Jahre)</t>
  </si>
  <si>
    <t>Letzte Fälligkeit</t>
  </si>
  <si>
    <t>„Fällig nach Jahren“ = Fälligkeitsjahr − Startjahr. Stufen mit Fälligkeit über der gewählten Laufzeit bekommen 0 %.</t>
  </si>
  <si>
    <t>Aktive Variante (Jahre)</t>
  </si>
  <si>
    <t>Anteil aktiv</t>
  </si>
  <si>
    <t>Betrag aktiv €</t>
  </si>
  <si>
    <t>Wert bei Fälligkeit (real) €</t>
  </si>
  <si>
    <t>Ertrag/Jahr aktiv €</t>
  </si>
  <si>
    <t>Die „Aktive Variante“ (B7) bestimmt, welche Aufteilung die Blätter „Ergebnisse“, „Entwicklung“ und „Eingaben“ verwenden (Spalten N:Q). Laufzeiten in H7:I7 sind änderbar.</t>
  </si>
  <si>
    <t>ISIN, Fälligkeit, Kurs und Rendite netto (gelbe Zellen) werden hier gepflegt; Stufen mit Fälligkeit über der gewählten Laufzeit bekommen 0 %.</t>
  </si>
  <si>
    <t>Aufteilung auf die Anleihen im Blatt „Leiter 3 und 5 Jahre“ (Variante 3 oder 5 Jahre in B7 wählen)</t>
  </si>
  <si>
    <t>Aktive Variante</t>
  </si>
  <si>
    <t>Orientierung, keine Anlage- oder Steuerberatung. Kurse und Renditen: Stand 09.–10.10.2026.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</si>
</sst>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#,##0&quot; €&quot;;\-#,##0&quot; €&quot;;\-"/>
    <numFmt numFmtId="165" formatCode="0.0%;\-0.0%;\-"/>
    <numFmt numFmtId="166" formatCode="0.00%;\-0.00%;\-"/>
    <numFmt numFmtId="167" formatCode="#,##0.00,,&quot; Mio. €&quot;;\-#,##0.00,,&quot; Mio. €&quot;;\-"/>
    <numFmt numFmtId="168" formatCode="dd\.mm\.yyyy"/>
    <numFmt numFmtId="169" formatCode="mmm\ yyyy"/>
    <numFmt numFmtId="171" formatCode="0.0"/>
  </numFmts>
  <fonts count="21" x14ac:knownFonts="1">
    <font>
      <sz val="11"/>
      <color theme="1"/>
      <name val="Calibri"/>
      <family val="2"/>
      <charset val="1"/>
    </font>
    <font>
      <b/>
      <sz val="15"/>
      <color rgb="FF1D4B3F"/>
      <name val="Arial"/>
      <charset val="1"/>
    </font>
    <font>
      <sz val="11"/>
      <color theme="1"/>
      <name val="Arial"/>
      <charset val="1"/>
    </font>
    <font>
      <i/>
      <sz val="9"/>
      <color rgb="FF5A6A62"/>
      <name val="Arial"/>
      <charset val="1"/>
    </font>
    <font>
      <b/>
      <sz val="11"/>
      <name val="Arial"/>
      <charset val="1"/>
    </font>
    <font>
      <sz val="11"/>
      <color rgb="FF0000FF"/>
      <name val="Arial"/>
      <charset val="1"/>
    </font>
    <font>
      <sz val="11"/>
      <name val="Arial"/>
      <charset val="1"/>
    </font>
    <font>
      <b/>
      <sz val="11"/>
      <color rgb="FF1D4B3F"/>
      <name val="Arial"/>
      <charset val="1"/>
    </font>
    <font>
      <b/>
      <sz val="11"/>
      <color rgb="FFFFFFFF"/>
      <name val="Arial"/>
      <charset val="1"/>
    </font>
    <font>
      <sz val="10"/>
      <name val="Arial"/>
      <family val="2"/>
    </font>
    <font>
      <sz val="11"/>
      <color rgb="FF008000"/>
      <name val="Arial"/>
      <charset val="1"/>
    </font>
    <font>
      <sz val="11"/>
      <color rgb="FF000000"/>
      <name val="Arial"/>
    </font>
    <font>
      <b/>
      <sz val="15"/>
      <color rgb="FF1D4B3F"/>
      <name val="Arial"/>
    </font>
    <font>
      <i/>
      <sz val="11"/>
      <color rgb="FF000000"/>
      <name val="Arial"/>
    </font>
    <font>
      <i/>
      <sz val="9"/>
      <color rgb="FF5A6A62"/>
      <name val="Arial"/>
    </font>
    <font>
      <b/>
      <sz val="11"/>
      <color rgb="FFFFFFFF"/>
      <name val="Arial"/>
    </font>
    <font>
      <b/>
      <sz val="11"/>
      <color rgb="FF000000"/>
      <name val="Arial"/>
    </font>
    <font>
      <b/>
      <sz val="12"/>
      <color rgb="FF000000"/>
      <name val="Arial"/>
    </font>
    <font>
      <sz val="11"/>
      <color rgb="FF0000FF"/>
      <name val="Arial"/>
    </font>
    <font>
      <sz val="11"/>
      <color rgb="FF008000"/>
      <name val="Arial"/>
    </font>
    <font>
      <b/>
      <sz val="9"/>
      <color indexed="81"/>
      <name val="Segoe UI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99"/>
        <bgColor rgb="FFFBE3DD"/>
      </patternFill>
    </fill>
    <fill>
      <patternFill patternType="solid">
        <fgColor rgb="FFDCECE6"/>
        <bgColor rgb="FFF2F4F3"/>
      </patternFill>
    </fill>
    <fill>
      <patternFill patternType="solid">
        <fgColor rgb="FF1D6B57"/>
        <bgColor rgb="FF2F7A4A"/>
      </patternFill>
    </fill>
    <fill>
      <patternFill patternType="solid">
        <fgColor rgb="FFF2F4F3"/>
        <bgColor rgb="FFFFFFFF"/>
      </patternFill>
    </fill>
    <fill>
      <patternFill patternType="solid">
        <fgColor rgb="FF8A5A44"/>
        <bgColor rgb="FFA8432C"/>
      </patternFill>
    </fill>
    <fill>
      <patternFill patternType="solid">
        <fgColor rgb="FF25628C"/>
        <bgColor rgb="FF1D6B57"/>
      </patternFill>
    </fill>
    <fill>
      <patternFill patternType="solid">
        <fgColor rgb="FF1D6B57"/>
        <bgColor indexed="64"/>
      </patternFill>
    </fill>
    <fill>
      <patternFill patternType="solid">
        <fgColor rgb="FFF2F4F3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rgb="FFC9D3CE"/>
      </left>
      <right style="thin">
        <color rgb="FFC9D3CE"/>
      </right>
      <top style="thin">
        <color rgb="FFC9D3CE"/>
      </top>
      <bottom style="thin">
        <color rgb="FFC9D3CE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8" fillId="7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0" borderId="1" xfId="0" applyFont="1" applyBorder="1"/>
    <xf numFmtId="0" fontId="7" fillId="3" borderId="0" xfId="0" applyFont="1" applyFill="1"/>
    <xf numFmtId="0" fontId="2" fillId="3" borderId="0" xfId="0" applyFont="1" applyFill="1"/>
    <xf numFmtId="0" fontId="8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/>
    <xf numFmtId="165" fontId="6" fillId="0" borderId="1" xfId="0" applyNumberFormat="1" applyFont="1" applyBorder="1"/>
    <xf numFmtId="1" fontId="5" fillId="2" borderId="1" xfId="0" applyNumberFormat="1" applyFont="1" applyFill="1" applyBorder="1"/>
    <xf numFmtId="164" fontId="5" fillId="2" borderId="1" xfId="0" applyNumberFormat="1" applyFont="1" applyFill="1" applyBorder="1"/>
    <xf numFmtId="165" fontId="5" fillId="2" borderId="1" xfId="0" applyNumberFormat="1" applyFont="1" applyFill="1" applyBorder="1"/>
    <xf numFmtId="166" fontId="6" fillId="0" borderId="1" xfId="0" applyNumberFormat="1" applyFont="1" applyBorder="1"/>
    <xf numFmtId="9" fontId="5" fillId="2" borderId="1" xfId="0" applyNumberFormat="1" applyFont="1" applyFill="1" applyBorder="1"/>
    <xf numFmtId="166" fontId="5" fillId="2" borderId="1" xfId="0" applyNumberFormat="1" applyFont="1" applyFill="1" applyBorder="1"/>
    <xf numFmtId="0" fontId="8" fillId="4" borderId="1" xfId="0" applyFont="1" applyFill="1" applyBorder="1" applyAlignment="1">
      <alignment horizontal="center"/>
    </xf>
    <xf numFmtId="0" fontId="2" fillId="0" borderId="1" xfId="0" applyFont="1" applyBorder="1"/>
    <xf numFmtId="167" fontId="10" fillId="0" borderId="1" xfId="0" applyNumberFormat="1" applyFont="1" applyBorder="1"/>
    <xf numFmtId="167" fontId="6" fillId="0" borderId="1" xfId="0" applyNumberFormat="1" applyFont="1" applyBorder="1"/>
    <xf numFmtId="164" fontId="6" fillId="0" borderId="1" xfId="0" applyNumberFormat="1" applyFont="1" applyBorder="1"/>
    <xf numFmtId="165" fontId="10" fillId="0" borderId="1" xfId="0" applyNumberFormat="1" applyFont="1" applyBorder="1"/>
    <xf numFmtId="167" fontId="4" fillId="0" borderId="1" xfId="0" applyNumberFormat="1" applyFont="1" applyBorder="1"/>
    <xf numFmtId="164" fontId="10" fillId="0" borderId="1" xfId="0" applyNumberFormat="1" applyFont="1" applyBorder="1"/>
    <xf numFmtId="168" fontId="5" fillId="2" borderId="1" xfId="0" applyNumberFormat="1" applyFont="1" applyFill="1" applyBorder="1"/>
    <xf numFmtId="1" fontId="6" fillId="0" borderId="1" xfId="0" applyNumberFormat="1" applyFont="1" applyBorder="1"/>
    <xf numFmtId="164" fontId="4" fillId="5" borderId="1" xfId="0" applyNumberFormat="1" applyFont="1" applyFill="1" applyBorder="1"/>
    <xf numFmtId="169" fontId="6" fillId="0" borderId="1" xfId="0" applyNumberFormat="1" applyFont="1" applyBorder="1"/>
    <xf numFmtId="1" fontId="6" fillId="5" borderId="1" xfId="0" applyNumberFormat="1" applyFont="1" applyFill="1" applyBorder="1"/>
    <xf numFmtId="164" fontId="6" fillId="5" borderId="1" xfId="0" applyNumberFormat="1" applyFont="1" applyFill="1" applyBorder="1"/>
    <xf numFmtId="0" fontId="11" fillId="0" borderId="0" xfId="0" applyFont="1"/>
    <xf numFmtId="0" fontId="12" fillId="0" borderId="0" xfId="0" applyFont="1"/>
    <xf numFmtId="0" fontId="14" fillId="0" borderId="0" xfId="0" applyFont="1"/>
    <xf numFmtId="0" fontId="16" fillId="0" borderId="0" xfId="0" applyFont="1"/>
    <xf numFmtId="0" fontId="17" fillId="0" borderId="0" xfId="0" applyFont="1"/>
    <xf numFmtId="0" fontId="13" fillId="0" borderId="0" xfId="0" applyFont="1" applyAlignment="1">
      <alignment horizontal="right"/>
    </xf>
    <xf numFmtId="0" fontId="15" fillId="8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6" fillId="0" borderId="1" xfId="0" applyFont="1" applyBorder="1"/>
    <xf numFmtId="0" fontId="16" fillId="9" borderId="1" xfId="0" applyFont="1" applyFill="1" applyBorder="1"/>
    <xf numFmtId="0" fontId="18" fillId="0" borderId="1" xfId="0" applyFont="1" applyBorder="1"/>
    <xf numFmtId="0" fontId="18" fillId="10" borderId="1" xfId="0" applyFont="1" applyFill="1" applyBorder="1"/>
    <xf numFmtId="1" fontId="19" fillId="0" borderId="1" xfId="0" applyNumberFormat="1" applyFont="1" applyBorder="1"/>
    <xf numFmtId="164" fontId="19" fillId="0" borderId="1" xfId="0" applyNumberFormat="1" applyFont="1" applyBorder="1"/>
    <xf numFmtId="14" fontId="18" fillId="10" borderId="1" xfId="0" applyNumberFormat="1" applyFont="1" applyFill="1" applyBorder="1"/>
    <xf numFmtId="2" fontId="18" fillId="10" borderId="1" xfId="0" applyNumberFormat="1" applyFont="1" applyFill="1" applyBorder="1"/>
    <xf numFmtId="166" fontId="18" fillId="10" borderId="1" xfId="0" applyNumberFormat="1" applyFont="1" applyFill="1" applyBorder="1"/>
    <xf numFmtId="165" fontId="11" fillId="0" borderId="1" xfId="0" applyNumberFormat="1" applyFont="1" applyBorder="1"/>
    <xf numFmtId="165" fontId="16" fillId="9" borderId="1" xfId="0" applyNumberFormat="1" applyFont="1" applyFill="1" applyBorder="1"/>
    <xf numFmtId="164" fontId="11" fillId="0" borderId="1" xfId="0" applyNumberFormat="1" applyFont="1" applyBorder="1"/>
    <xf numFmtId="164" fontId="16" fillId="9" borderId="1" xfId="0" applyNumberFormat="1" applyFont="1" applyFill="1" applyBorder="1"/>
    <xf numFmtId="0" fontId="11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18" fillId="10" borderId="0" xfId="0" applyNumberFormat="1" applyFont="1" applyFill="1" applyAlignment="1">
      <alignment horizontal="center"/>
    </xf>
    <xf numFmtId="164" fontId="11" fillId="0" borderId="1" xfId="0" applyNumberFormat="1" applyFont="1" applyBorder="1" applyAlignment="1">
      <alignment horizontal="right"/>
    </xf>
    <xf numFmtId="10" fontId="11" fillId="0" borderId="1" xfId="0" applyNumberFormat="1" applyFont="1" applyBorder="1" applyAlignment="1">
      <alignment horizontal="right"/>
    </xf>
    <xf numFmtId="171" fontId="11" fillId="0" borderId="1" xfId="0" applyNumberFormat="1" applyFont="1" applyBorder="1" applyAlignment="1">
      <alignment horizontal="right"/>
    </xf>
    <xf numFmtId="14" fontId="11" fillId="0" borderId="1" xfId="0" applyNumberFormat="1" applyFont="1" applyBorder="1" applyAlignment="1">
      <alignment horizontal="right"/>
    </xf>
    <xf numFmtId="0" fontId="18" fillId="10" borderId="0" xfId="0" applyFont="1" applyFill="1" applyAlignment="1">
      <alignment horizontal="center"/>
    </xf>
  </cellXfs>
  <cellStyles count="1">
    <cellStyle name="Standard" xfId="0" builtinId="0"/>
  </cellStyles>
  <dxfs count="2">
    <dxf>
      <font>
        <b/>
        <color rgb="FFC00000"/>
        <name val="Arial"/>
        <charset val="1"/>
      </font>
      <fill>
        <patternFill>
          <bgColor rgb="FFFBE3DD"/>
        </patternFill>
      </fill>
    </dxf>
    <dxf>
      <font>
        <b/>
        <color rgb="FF2F7A4A"/>
        <name val="Arial"/>
        <charset val="1"/>
      </font>
    </dxf>
  </dxfs>
  <tableStyles count="1" defaultTableStyle="TableStyleMedium2" defaultPivotStyle="PivotStyleLight16">
    <tableStyle name="Invisible" pivot="0" table="0" count="0" xr9:uid="{808E69DA-0254-44C2-8458-37219B995C91}"/>
  </table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6B57"/>
      <rgbColor rgb="FFC9D3CE"/>
      <rgbColor rgb="FF878787"/>
      <rgbColor rgb="FF9999FF"/>
      <rgbColor rgb="FF8A5A44"/>
      <rgbColor rgb="FFF2F4F3"/>
      <rgbColor rgb="FFDCECE6"/>
      <rgbColor rgb="FF660066"/>
      <rgbColor rgb="FFFF8080"/>
      <rgbColor rgb="FF25628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3DD"/>
      <rgbColor rgb="FF3366FF"/>
      <rgbColor rgb="FF33CCCC"/>
      <rgbColor rgb="FF99CC00"/>
      <rgbColor rgb="FFFFCC00"/>
      <rgbColor rgb="FFFF9900"/>
      <rgbColor rgb="FFFF6600"/>
      <rgbColor rgb="FF5A6A62"/>
      <rgbColor rgb="FF969696"/>
      <rgbColor rgb="FF003366"/>
      <rgbColor rgb="FF2F7A4A"/>
      <rgbColor rgb="FF003300"/>
      <rgbColor rgb="FF333300"/>
      <rgbColor rgb="FFA8432C"/>
      <rgbColor rgb="FF993366"/>
      <rgbColor rgb="FF333399"/>
      <rgbColor rgb="FF1D4B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Gesamtvermögen (real, vor Steuer)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Vorsichtig</c:v>
          </c:tx>
          <c:spPr>
            <a:ln w="25920">
              <a:solidFill>
                <a:srgbClr val="A8432C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IT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Entwicklung!$A$6:$A$36</c:f>
              <c:numCache>
                <c:formatCode>0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Entwicklung!$M$6:$M$36</c:f>
              <c:numCache>
                <c:formatCode>#,##0" €";\-#,##0" €";\-</c:formatCode>
                <c:ptCount val="31"/>
                <c:pt idx="0">
                  <c:v>750000</c:v>
                </c:pt>
                <c:pt idx="1">
                  <c:v>759100</c:v>
                </c:pt>
                <c:pt idx="2">
                  <c:v>770923</c:v>
                </c:pt>
                <c:pt idx="3">
                  <c:v>785575.50249999994</c:v>
                </c:pt>
                <c:pt idx="4">
                  <c:v>803167.39194999996</c:v>
                </c:pt>
                <c:pt idx="5">
                  <c:v>823812.03745693748</c:v>
                </c:pt>
                <c:pt idx="6">
                  <c:v>847626.39858064568</c:v>
                </c:pt>
                <c:pt idx="7">
                  <c:v>872155.19053806504</c:v>
                </c:pt>
                <c:pt idx="8">
                  <c:v>897419.84625420696</c:v>
                </c:pt>
                <c:pt idx="9">
                  <c:v>923442.44164183317</c:v>
                </c:pt>
                <c:pt idx="10">
                  <c:v>950245.7148910882</c:v>
                </c:pt>
                <c:pt idx="11">
                  <c:v>977853.08633782086</c:v>
                </c:pt>
                <c:pt idx="12">
                  <c:v>1006288.6789279556</c:v>
                </c:pt>
                <c:pt idx="13">
                  <c:v>1035577.3392957943</c:v>
                </c:pt>
                <c:pt idx="14">
                  <c:v>1065744.6594746681</c:v>
                </c:pt>
                <c:pt idx="15">
                  <c:v>1096816.9992589082</c:v>
                </c:pt>
                <c:pt idx="16">
                  <c:v>1128821.5092366755</c:v>
                </c:pt>
                <c:pt idx="17">
                  <c:v>1161786.1545137758</c:v>
                </c:pt>
                <c:pt idx="18">
                  <c:v>1195739.7391491891</c:v>
                </c:pt>
                <c:pt idx="19">
                  <c:v>1230711.9313236647</c:v>
                </c:pt>
                <c:pt idx="20">
                  <c:v>1266733.2892633746</c:v>
                </c:pt>
                <c:pt idx="21">
                  <c:v>1303835.2879412759</c:v>
                </c:pt>
                <c:pt idx="22">
                  <c:v>1342050.3465795142</c:v>
                </c:pt>
                <c:pt idx="23">
                  <c:v>1381411.8569768998</c:v>
                </c:pt>
                <c:pt idx="24">
                  <c:v>1421954.2126862069</c:v>
                </c:pt>
                <c:pt idx="25">
                  <c:v>1463712.8390667932</c:v>
                </c:pt>
                <c:pt idx="26">
                  <c:v>1506724.2242387971</c:v>
                </c:pt>
                <c:pt idx="27">
                  <c:v>1551025.950965961</c:v>
                </c:pt>
                <c:pt idx="28">
                  <c:v>1596656.7294949398</c:v>
                </c:pt>
                <c:pt idx="29">
                  <c:v>1643656.4313797881</c:v>
                </c:pt>
                <c:pt idx="30">
                  <c:v>1692066.1243211818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13-49EE-9830-EE8D401D7A4A}"/>
            </c:ext>
          </c:extLst>
        </c:ser>
        <c:ser>
          <c:idx val="1"/>
          <c:order val="1"/>
          <c:tx>
            <c:v>Mittel</c:v>
          </c:tx>
          <c:spPr>
            <a:ln w="25920">
              <a:solidFill>
                <a:srgbClr val="1D6B57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IT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Entwicklung!$A$6:$A$36</c:f>
              <c:numCache>
                <c:formatCode>0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Entwicklung!$R$6:$R$36</c:f>
              <c:numCache>
                <c:formatCode>#,##0" €";\-#,##0" €";\-</c:formatCode>
                <c:ptCount val="31"/>
                <c:pt idx="0">
                  <c:v>750000</c:v>
                </c:pt>
                <c:pt idx="1">
                  <c:v>763500</c:v>
                </c:pt>
                <c:pt idx="2">
                  <c:v>782085</c:v>
                </c:pt>
                <c:pt idx="3">
                  <c:v>806053.91249999986</c:v>
                </c:pt>
                <c:pt idx="4">
                  <c:v>835720.93199999991</c:v>
                </c:pt>
                <c:pt idx="5">
                  <c:v>871416.30134718737</c:v>
                </c:pt>
                <c:pt idx="6">
                  <c:v>913487.11641454673</c:v>
                </c:pt>
                <c:pt idx="7">
                  <c:v>957661.47223527415</c:v>
                </c:pt>
                <c:pt idx="8">
                  <c:v>1004044.5458470379</c:v>
                </c:pt>
                <c:pt idx="9">
                  <c:v>1052746.7731393897</c:v>
                </c:pt>
                <c:pt idx="10">
                  <c:v>1103884.1117963593</c:v>
                </c:pt>
                <c:pt idx="11">
                  <c:v>1157578.3173861774</c:v>
                </c:pt>
                <c:pt idx="12">
                  <c:v>1213957.2332554862</c:v>
                </c:pt>
                <c:pt idx="13">
                  <c:v>1273155.0949182606</c:v>
                </c:pt>
                <c:pt idx="14">
                  <c:v>1335312.8496641736</c:v>
                </c:pt>
                <c:pt idx="15">
                  <c:v>1400578.4921473823</c:v>
                </c:pt>
                <c:pt idx="16">
                  <c:v>1469107.4167547515</c:v>
                </c:pt>
                <c:pt idx="17">
                  <c:v>1541062.787592489</c:v>
                </c:pt>
                <c:pt idx="18">
                  <c:v>1616615.9269721135</c:v>
                </c:pt>
                <c:pt idx="19">
                  <c:v>1695946.7233207193</c:v>
                </c:pt>
                <c:pt idx="20">
                  <c:v>1779244.0594867554</c:v>
                </c:pt>
                <c:pt idx="21">
                  <c:v>1866706.2624610933</c:v>
                </c:pt>
                <c:pt idx="22">
                  <c:v>1958541.5755841481</c:v>
                </c:pt>
                <c:pt idx="23">
                  <c:v>2054968.6543633556</c:v>
                </c:pt>
                <c:pt idx="24">
                  <c:v>2156217.0870815236</c:v>
                </c:pt>
                <c:pt idx="25">
                  <c:v>2262527.9414355997</c:v>
                </c:pt>
                <c:pt idx="26">
                  <c:v>2374154.3385073799</c:v>
                </c:pt>
                <c:pt idx="27">
                  <c:v>2491362.055432749</c:v>
                </c:pt>
                <c:pt idx="28">
                  <c:v>2614430.1582043865</c:v>
                </c:pt>
                <c:pt idx="29">
                  <c:v>2743651.666114606</c:v>
                </c:pt>
                <c:pt idx="30">
                  <c:v>2879334.2494203364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13-49EE-9830-EE8D401D7A4A}"/>
            </c:ext>
          </c:extLst>
        </c:ser>
        <c:ser>
          <c:idx val="2"/>
          <c:order val="2"/>
          <c:tx>
            <c:v>Gut</c:v>
          </c:tx>
          <c:spPr>
            <a:ln w="25920">
              <a:solidFill>
                <a:srgbClr val="25628C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IT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Entwicklung!$A$6:$A$36</c:f>
              <c:numCache>
                <c:formatCode>0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Entwicklung!$W$6:$W$36</c:f>
              <c:numCache>
                <c:formatCode>#,##0" €";\-#,##0" €";\-</c:formatCode>
                <c:ptCount val="31"/>
                <c:pt idx="0">
                  <c:v>750000</c:v>
                </c:pt>
                <c:pt idx="1">
                  <c:v>767900</c:v>
                </c:pt>
                <c:pt idx="2">
                  <c:v>793423</c:v>
                </c:pt>
                <c:pt idx="3">
                  <c:v>827167.12249999994</c:v>
                </c:pt>
                <c:pt idx="4">
                  <c:v>869772.84444999998</c:v>
                </c:pt>
                <c:pt idx="5">
                  <c:v>921925.96530743747</c:v>
                </c:pt>
                <c:pt idx="6">
                  <c:v>984360.78287895815</c:v>
                </c:pt>
                <c:pt idx="7">
                  <c:v>1051166.0376804853</c:v>
                </c:pt>
                <c:pt idx="8">
                  <c:v>1122647.6603181192</c:v>
                </c:pt>
                <c:pt idx="9">
                  <c:v>1199132.9965403876</c:v>
                </c:pt>
                <c:pt idx="10">
                  <c:v>1280972.3062982149</c:v>
                </c:pt>
                <c:pt idx="11">
                  <c:v>1368540.36773909</c:v>
                </c:pt>
                <c:pt idx="12">
                  <c:v>1462238.1934808264</c:v>
                </c:pt>
                <c:pt idx="13">
                  <c:v>1562494.8670244843</c:v>
                </c:pt>
                <c:pt idx="14">
                  <c:v>1669769.5077161982</c:v>
                </c:pt>
                <c:pt idx="15">
                  <c:v>1784553.3732563322</c:v>
                </c:pt>
                <c:pt idx="16">
                  <c:v>1907372.1093842755</c:v>
                </c:pt>
                <c:pt idx="17">
                  <c:v>2038788.1570411748</c:v>
                </c:pt>
                <c:pt idx="18">
                  <c:v>2179403.3280340573</c:v>
                </c:pt>
                <c:pt idx="19">
                  <c:v>2329861.5609964416</c:v>
                </c:pt>
                <c:pt idx="20">
                  <c:v>2490851.8702661926</c:v>
                </c:pt>
                <c:pt idx="21">
                  <c:v>2663111.5011848263</c:v>
                </c:pt>
                <c:pt idx="22">
                  <c:v>2847429.3062677644</c:v>
                </c:pt>
                <c:pt idx="23">
                  <c:v>3044649.3577065081</c:v>
                </c:pt>
                <c:pt idx="24">
                  <c:v>3255674.8127459637</c:v>
                </c:pt>
                <c:pt idx="25">
                  <c:v>3481472.0496381815</c:v>
                </c:pt>
                <c:pt idx="26">
                  <c:v>3723075.0931128543</c:v>
                </c:pt>
                <c:pt idx="27">
                  <c:v>3981590.3496307544</c:v>
                </c:pt>
                <c:pt idx="28">
                  <c:v>4258201.6741049075</c:v>
                </c:pt>
                <c:pt idx="29">
                  <c:v>4554175.7912922511</c:v>
                </c:pt>
                <c:pt idx="30">
                  <c:v>4870868.0966827087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13-49EE-9830-EE8D401D7A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2711264"/>
        <c:axId val="64073035"/>
      </c:lineChart>
      <c:catAx>
        <c:axId val="9271126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Jahre ab Start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IT"/>
          </a:p>
        </c:txPr>
        <c:crossAx val="64073035"/>
        <c:crosses val="autoZero"/>
        <c:auto val="1"/>
        <c:lblAlgn val="ctr"/>
        <c:lblOffset val="100"/>
        <c:noMultiLvlLbl val="0"/>
      </c:catAx>
      <c:valAx>
        <c:axId val="640730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IT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,,&quot; Mio.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IT"/>
          </a:p>
        </c:txPr>
        <c:crossAx val="9271126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IT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145440</xdr:rowOff>
    </xdr:from>
    <xdr:to>
      <xdr:col>8</xdr:col>
      <xdr:colOff>80640</xdr:colOff>
      <xdr:row>54</xdr:row>
      <xdr:rowOff>146520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208B6D2-9F0E-460D-8A25-2B16CFFEFB49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109b721-b39e-4628-aa15-31b6d65bec9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showGridLines="0" tabSelected="1" zoomScaleNormal="100" workbookViewId="0">
      <pane ySplit="4" topLeftCell="A14" activePane="bottomLeft" state="frozen"/>
      <selection pane="bottomLeft" activeCell="B11" sqref="B11"/>
    </sheetView>
  </sheetViews>
  <sheetFormatPr baseColWidth="10" defaultColWidth="8.6640625" defaultRowHeight="14.4" x14ac:dyDescent="0.3"/>
  <cols>
    <col min="1" max="1" width="46" customWidth="1"/>
    <col min="2" max="3" width="16" customWidth="1"/>
    <col min="4" max="4" width="62" customWidth="1"/>
  </cols>
  <sheetData>
    <row r="1" spans="1:4" ht="19.2" x14ac:dyDescent="0.35">
      <c r="A1" s="4" t="s">
        <v>0</v>
      </c>
      <c r="B1" s="5"/>
      <c r="C1" s="5"/>
      <c r="D1" s="5"/>
    </row>
    <row r="2" spans="1:4" x14ac:dyDescent="0.3">
      <c r="A2" s="6" t="s">
        <v>1</v>
      </c>
      <c r="B2" s="5"/>
      <c r="C2" s="5"/>
      <c r="D2" s="5"/>
    </row>
    <row r="3" spans="1:4" x14ac:dyDescent="0.3">
      <c r="A3" s="7" t="s">
        <v>2</v>
      </c>
      <c r="B3" s="8" t="s">
        <v>3</v>
      </c>
      <c r="C3" s="9" t="s">
        <v>4</v>
      </c>
      <c r="D3" s="6" t="s">
        <v>5</v>
      </c>
    </row>
    <row r="4" spans="1:4" x14ac:dyDescent="0.3">
      <c r="A4" s="5"/>
      <c r="B4" s="5"/>
      <c r="C4" s="5"/>
      <c r="D4" s="5"/>
    </row>
    <row r="5" spans="1:4" x14ac:dyDescent="0.3">
      <c r="A5" s="10" t="s">
        <v>6</v>
      </c>
      <c r="B5" s="11"/>
      <c r="C5" s="11"/>
      <c r="D5" s="11"/>
    </row>
    <row r="6" spans="1:4" x14ac:dyDescent="0.3">
      <c r="A6" s="12" t="s">
        <v>7</v>
      </c>
      <c r="B6" s="12" t="s">
        <v>8</v>
      </c>
      <c r="C6" s="12" t="s">
        <v>9</v>
      </c>
      <c r="D6" s="12" t="s">
        <v>10</v>
      </c>
    </row>
    <row r="7" spans="1:4" x14ac:dyDescent="0.3">
      <c r="A7" s="7" t="s">
        <v>11</v>
      </c>
      <c r="B7" s="13">
        <f>B10+B11+B12</f>
        <v>750000</v>
      </c>
      <c r="C7" s="14">
        <f>SUM(C10:C12)</f>
        <v>1</v>
      </c>
      <c r="D7" s="6" t="s">
        <v>12</v>
      </c>
    </row>
    <row r="8" spans="1:4" x14ac:dyDescent="0.3">
      <c r="A8" s="5" t="s">
        <v>13</v>
      </c>
      <c r="B8" s="15">
        <v>2026</v>
      </c>
      <c r="C8" s="5"/>
      <c r="D8" s="6" t="s">
        <v>14</v>
      </c>
    </row>
    <row r="9" spans="1:4" x14ac:dyDescent="0.3">
      <c r="A9" s="5" t="s">
        <v>15</v>
      </c>
      <c r="B9" s="15">
        <v>20</v>
      </c>
      <c r="C9" s="5"/>
      <c r="D9" s="6" t="s">
        <v>16</v>
      </c>
    </row>
    <row r="10" spans="1:4" x14ac:dyDescent="0.3">
      <c r="A10" s="5" t="s">
        <v>17</v>
      </c>
      <c r="B10" s="16">
        <v>30000</v>
      </c>
      <c r="C10" s="14">
        <f>IF($B$7&gt;0,B10/$B$7,0)</f>
        <v>0.04</v>
      </c>
      <c r="D10" s="6" t="s">
        <v>18</v>
      </c>
    </row>
    <row r="11" spans="1:4" x14ac:dyDescent="0.3">
      <c r="A11" s="5" t="s">
        <v>19</v>
      </c>
      <c r="B11" s="16">
        <v>500000</v>
      </c>
      <c r="C11" s="14">
        <f>IF($B$7&gt;0,B11/$B$7,0)</f>
        <v>0.66666666666666663</v>
      </c>
      <c r="D11" s="6" t="s">
        <v>165</v>
      </c>
    </row>
    <row r="12" spans="1:4" x14ac:dyDescent="0.3">
      <c r="A12" s="5" t="s">
        <v>20</v>
      </c>
      <c r="B12" s="16">
        <v>220000</v>
      </c>
      <c r="C12" s="14">
        <f>IF($B$7&gt;0,B12/$B$7,0)</f>
        <v>0.29333333333333333</v>
      </c>
      <c r="D12" s="6" t="s">
        <v>21</v>
      </c>
    </row>
    <row r="13" spans="1:4" x14ac:dyDescent="0.3">
      <c r="A13" s="5"/>
      <c r="B13" s="5"/>
      <c r="C13" s="5"/>
      <c r="D13" s="5"/>
    </row>
    <row r="14" spans="1:4" x14ac:dyDescent="0.3">
      <c r="A14" s="5"/>
      <c r="B14" s="5"/>
      <c r="C14" s="5"/>
      <c r="D14" s="5"/>
    </row>
    <row r="15" spans="1:4" x14ac:dyDescent="0.3">
      <c r="A15" s="10" t="s">
        <v>22</v>
      </c>
      <c r="B15" s="11"/>
      <c r="C15" s="11"/>
      <c r="D15" s="11"/>
    </row>
    <row r="16" spans="1:4" ht="27.6" x14ac:dyDescent="0.3">
      <c r="A16" s="12" t="s">
        <v>23</v>
      </c>
      <c r="B16" s="12" t="s">
        <v>3</v>
      </c>
      <c r="C16" s="12" t="s">
        <v>24</v>
      </c>
      <c r="D16" s="12" t="s">
        <v>25</v>
      </c>
    </row>
    <row r="17" spans="1:4" x14ac:dyDescent="0.3">
      <c r="A17" s="5" t="s">
        <v>26</v>
      </c>
      <c r="B17" s="17">
        <v>0.03</v>
      </c>
      <c r="C17" s="18">
        <f>B17-IF($B$29="Ja",$B$30,0)</f>
        <v>0.03</v>
      </c>
      <c r="D17" s="6" t="s">
        <v>27</v>
      </c>
    </row>
    <row r="18" spans="1:4" x14ac:dyDescent="0.3">
      <c r="A18" s="5" t="s">
        <v>28</v>
      </c>
      <c r="B18" s="17">
        <v>0.05</v>
      </c>
      <c r="C18" s="18">
        <f>B18-IF($B$29="Ja",$B$30,0)</f>
        <v>0.05</v>
      </c>
      <c r="D18" s="6" t="s">
        <v>29</v>
      </c>
    </row>
    <row r="19" spans="1:4" x14ac:dyDescent="0.3">
      <c r="A19" s="5" t="s">
        <v>30</v>
      </c>
      <c r="B19" s="17">
        <v>7.0000000000000007E-2</v>
      </c>
      <c r="C19" s="18">
        <f>B19-IF($B$29="Ja",$B$30,0)</f>
        <v>7.0000000000000007E-2</v>
      </c>
      <c r="D19" s="6" t="s">
        <v>31</v>
      </c>
    </row>
    <row r="20" spans="1:4" x14ac:dyDescent="0.3">
      <c r="A20" s="5" t="s">
        <v>32</v>
      </c>
      <c r="B20" s="17">
        <v>0</v>
      </c>
      <c r="C20" s="18">
        <f>B20-IF($B$29="Ja",$B$30,0)</f>
        <v>0</v>
      </c>
      <c r="D20" s="6" t="s">
        <v>33</v>
      </c>
    </row>
    <row r="21" spans="1:4" x14ac:dyDescent="0.3">
      <c r="A21" s="5" t="s">
        <v>34</v>
      </c>
      <c r="B21" s="17">
        <v>5.0000000000000001E-3</v>
      </c>
      <c r="C21" s="18">
        <f>B21-IF($B$29="Ja",$B$30,0)</f>
        <v>5.0000000000000001E-3</v>
      </c>
      <c r="D21" s="6" t="s">
        <v>35</v>
      </c>
    </row>
    <row r="22" spans="1:4" x14ac:dyDescent="0.3">
      <c r="A22" s="5" t="s">
        <v>36</v>
      </c>
      <c r="B22" s="17">
        <v>0.03</v>
      </c>
      <c r="C22" s="5"/>
      <c r="D22" s="6" t="s">
        <v>37</v>
      </c>
    </row>
    <row r="23" spans="1:4" x14ac:dyDescent="0.3">
      <c r="A23" s="5"/>
      <c r="B23" s="5"/>
      <c r="C23" s="5"/>
      <c r="D23" s="5"/>
    </row>
    <row r="24" spans="1:4" x14ac:dyDescent="0.3">
      <c r="A24" s="10" t="s">
        <v>38</v>
      </c>
      <c r="B24" s="11"/>
      <c r="C24" s="11"/>
      <c r="D24" s="11"/>
    </row>
    <row r="25" spans="1:4" x14ac:dyDescent="0.3">
      <c r="A25" s="12" t="s">
        <v>7</v>
      </c>
      <c r="B25" s="12" t="s">
        <v>39</v>
      </c>
      <c r="C25" s="12"/>
      <c r="D25" s="12" t="s">
        <v>10</v>
      </c>
    </row>
    <row r="26" spans="1:4" x14ac:dyDescent="0.3">
      <c r="A26" s="5" t="s">
        <v>40</v>
      </c>
      <c r="B26" s="19">
        <v>1</v>
      </c>
      <c r="C26" s="5"/>
      <c r="D26" s="6" t="s">
        <v>41</v>
      </c>
    </row>
    <row r="27" spans="1:4" x14ac:dyDescent="0.3">
      <c r="A27" s="5" t="s">
        <v>42</v>
      </c>
      <c r="B27" s="16">
        <v>0</v>
      </c>
      <c r="C27" s="5"/>
      <c r="D27" s="6" t="s">
        <v>43</v>
      </c>
    </row>
    <row r="28" spans="1:4" x14ac:dyDescent="0.3">
      <c r="A28" s="5" t="s">
        <v>44</v>
      </c>
      <c r="B28" s="15">
        <v>1</v>
      </c>
      <c r="C28" s="15">
        <v>30</v>
      </c>
      <c r="D28" s="6" t="s">
        <v>45</v>
      </c>
    </row>
    <row r="29" spans="1:4" x14ac:dyDescent="0.3">
      <c r="A29" s="5" t="s">
        <v>46</v>
      </c>
      <c r="B29" s="8" t="s">
        <v>47</v>
      </c>
      <c r="C29" s="5"/>
      <c r="D29" s="5"/>
    </row>
    <row r="30" spans="1:4" x14ac:dyDescent="0.3">
      <c r="A30" s="5" t="s">
        <v>48</v>
      </c>
      <c r="B30" s="20">
        <v>2E-3</v>
      </c>
      <c r="C30" s="5"/>
      <c r="D30" s="5"/>
    </row>
    <row r="31" spans="1:4" x14ac:dyDescent="0.3">
      <c r="A31" s="5" t="s">
        <v>49</v>
      </c>
      <c r="B31" s="17">
        <v>0.26</v>
      </c>
      <c r="C31" s="5"/>
      <c r="D31" s="6" t="s">
        <v>50</v>
      </c>
    </row>
    <row r="32" spans="1:4" x14ac:dyDescent="0.3">
      <c r="A32" s="5" t="s">
        <v>51</v>
      </c>
      <c r="B32" s="17">
        <v>-0.4</v>
      </c>
      <c r="C32" s="5"/>
      <c r="D32" s="6" t="s">
        <v>52</v>
      </c>
    </row>
    <row r="33" spans="1:4" x14ac:dyDescent="0.3">
      <c r="A33" s="5"/>
      <c r="B33" s="5"/>
      <c r="C33" s="5"/>
      <c r="D33" s="5"/>
    </row>
    <row r="34" spans="1:4" x14ac:dyDescent="0.3">
      <c r="A34" s="10" t="s">
        <v>53</v>
      </c>
      <c r="B34" s="11"/>
      <c r="C34" s="11"/>
      <c r="D34" s="11"/>
    </row>
    <row r="35" spans="1:4" x14ac:dyDescent="0.3">
      <c r="A35" s="5" t="s">
        <v>54</v>
      </c>
      <c r="B35" s="9" t="str">
        <f>IF(MIN(B10:B12)&lt;0,"Negativer Topf-Betrag",IF(B11=0,"OK",IF(ABS('Leiter 3 und 5 Jahre'!$N$14-1)&lt;0.0001,"OK","Anteile Zinsleiter ergeben "&amp;TEXT('Leiter 3 und 5 Jahre'!$N$14,"0%"))))</f>
        <v>OK</v>
      </c>
      <c r="C35" s="5"/>
      <c r="D35" s="5"/>
    </row>
    <row r="36" spans="1:4" x14ac:dyDescent="0.3">
      <c r="A36" s="5" t="s">
        <v>55</v>
      </c>
      <c r="B36" s="9" t="str">
        <f>IF(AND(B26&gt;=0,B26&lt;=1),"OK","Wert prüfen")</f>
        <v>OK</v>
      </c>
      <c r="C36" s="5"/>
      <c r="D36" s="5"/>
    </row>
    <row r="37" spans="1:4" x14ac:dyDescent="0.3">
      <c r="A37" s="5" t="s">
        <v>56</v>
      </c>
      <c r="B37" s="9" t="str">
        <f>IF(AND(B28&gt;=1,C28&gt;=B28,C28&lt;=30),"OK","Von ≥ 1, bis ≥ von, bis ≤ 30")</f>
        <v>OK</v>
      </c>
      <c r="C37" s="5"/>
      <c r="D37" s="5"/>
    </row>
    <row r="38" spans="1:4" x14ac:dyDescent="0.3">
      <c r="A38" s="5" t="s">
        <v>57</v>
      </c>
      <c r="B38" s="9" t="str">
        <f>IF(MAX('Leiter 3 und 5 Jahre'!$E$9:$E$13)&lt;=30,"OK","Fälligkeit prüfen")</f>
        <v>OK</v>
      </c>
      <c r="C38" s="5"/>
      <c r="D38" s="5"/>
    </row>
  </sheetData>
  <conditionalFormatting sqref="B35:B38">
    <cfRule type="expression" dxfId="1" priority="2">
      <formula>B35="OK"</formula>
    </cfRule>
    <cfRule type="expression" dxfId="0" priority="3">
      <formula>B35&lt;&gt;"OK"</formula>
    </cfRule>
  </conditionalFormatting>
  <dataValidations count="2">
    <dataValidation type="list" sqref="B29" xr:uid="{00000000-0002-0000-0000-000000000000}">
      <formula1>"Ja,Nein"</formula1>
      <formula2>0</formula2>
    </dataValidation>
    <dataValidation type="decimal" sqref="B26" xr:uid="{00000000-0002-0000-0000-000001000000}">
      <formula1>0</formula1>
      <formula2>1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5"/>
  <sheetViews>
    <sheetView showGridLines="0" zoomScaleNormal="100" workbookViewId="0">
      <selection activeCell="B28" sqref="B28"/>
    </sheetView>
  </sheetViews>
  <sheetFormatPr baseColWidth="10" defaultColWidth="8.6640625" defaultRowHeight="14.4" x14ac:dyDescent="0.3"/>
  <cols>
    <col min="1" max="1" width="44" customWidth="1"/>
    <col min="2" max="4" width="18" customWidth="1"/>
    <col min="5" max="5" width="4" customWidth="1"/>
    <col min="6" max="6" width="40" customWidth="1"/>
  </cols>
  <sheetData>
    <row r="1" spans="1:4" ht="19.2" x14ac:dyDescent="0.35">
      <c r="A1" s="4" t="s">
        <v>58</v>
      </c>
      <c r="B1" s="5"/>
      <c r="C1" s="5"/>
      <c r="D1" s="5"/>
    </row>
    <row r="2" spans="1:4" x14ac:dyDescent="0.3">
      <c r="A2" s="6" t="s">
        <v>59</v>
      </c>
      <c r="B2" s="5"/>
      <c r="C2" s="5"/>
      <c r="D2" s="5"/>
    </row>
    <row r="3" spans="1:4" x14ac:dyDescent="0.3">
      <c r="A3" s="5"/>
      <c r="B3" s="5"/>
      <c r="C3" s="5"/>
      <c r="D3" s="5"/>
    </row>
    <row r="4" spans="1:4" x14ac:dyDescent="0.3">
      <c r="A4" s="10" t="s">
        <v>60</v>
      </c>
      <c r="B4" s="11"/>
      <c r="C4" s="11"/>
      <c r="D4" s="11"/>
    </row>
    <row r="5" spans="1:4" x14ac:dyDescent="0.3">
      <c r="A5" s="6" t="str">
        <f>"Zinsleiter → ETF: "&amp;TEXT(Eingaben!B26,"0%")&amp;" · Entnahme: "&amp;TEXT(Eingaben!B27,"#,##0")&amp;" €/Monat · Stempelsteuer: "&amp;Eingaben!B29</f>
        <v>Zinsleiter → ETF: 100% · Entnahme: ,0 €/Monat · Stempelsteuer: Nein</v>
      </c>
      <c r="B5" s="5"/>
      <c r="C5" s="5"/>
      <c r="D5" s="5"/>
    </row>
    <row r="6" spans="1:4" x14ac:dyDescent="0.3">
      <c r="A6" s="12" t="s">
        <v>61</v>
      </c>
      <c r="B6" s="21" t="str">
        <f>"Alter "&amp;(Eingaben!$B$9+10)&amp;" · 10 J."</f>
        <v>Alter 30 · 10 J.</v>
      </c>
      <c r="C6" s="21" t="str">
        <f>"Alter "&amp;(Eingaben!$B$9+20)&amp;" · 20 J."</f>
        <v>Alter 40 · 20 J.</v>
      </c>
      <c r="D6" s="21" t="str">
        <f>"Alter "&amp;(Eingaben!$B$9+30)&amp;" · 30 J."</f>
        <v>Alter 50 · 30 J.</v>
      </c>
    </row>
    <row r="7" spans="1:4" x14ac:dyDescent="0.3">
      <c r="A7" s="22" t="s">
        <v>62</v>
      </c>
      <c r="B7" s="23">
        <f>INDEX(Entwicklung!$M$6:$M$36,10+1)</f>
        <v>950245.7148910882</v>
      </c>
      <c r="C7" s="23">
        <f>INDEX(Entwicklung!$M$6:$M$36,20+1)</f>
        <v>1266733.2892633746</v>
      </c>
      <c r="D7" s="23">
        <f>INDEX(Entwicklung!$M$6:$M$36,30+1)</f>
        <v>1692066.1243211818</v>
      </c>
    </row>
    <row r="8" spans="1:4" x14ac:dyDescent="0.3">
      <c r="A8" s="22" t="s">
        <v>63</v>
      </c>
      <c r="B8" s="23">
        <f>INDEX(Entwicklung!$R$6:$R$36,10+1)</f>
        <v>1103884.1117963593</v>
      </c>
      <c r="C8" s="23">
        <f>INDEX(Entwicklung!$R$6:$R$36,20+1)</f>
        <v>1779244.0594867554</v>
      </c>
      <c r="D8" s="23">
        <f>INDEX(Entwicklung!$R$6:$R$36,30+1)</f>
        <v>2879334.2494203364</v>
      </c>
    </row>
    <row r="9" spans="1:4" x14ac:dyDescent="0.3">
      <c r="A9" s="22" t="s">
        <v>64</v>
      </c>
      <c r="B9" s="23">
        <f>INDEX(Entwicklung!$W$6:$W$36,10+1)</f>
        <v>1280972.3062982149</v>
      </c>
      <c r="C9" s="23">
        <f>INDEX(Entwicklung!$W$6:$W$36,20+1)</f>
        <v>2490851.8702661926</v>
      </c>
      <c r="D9" s="23">
        <f>INDEX(Entwicklung!$W$6:$W$36,30+1)</f>
        <v>4870868.0966827087</v>
      </c>
    </row>
    <row r="10" spans="1:4" x14ac:dyDescent="0.3">
      <c r="A10" s="22" t="s">
        <v>65</v>
      </c>
      <c r="B10" s="23">
        <f>INDEX(Entwicklung!$N$6:$N$36,10+1)</f>
        <v>860967.46167470375</v>
      </c>
      <c r="C10" s="23">
        <f>INDEX(Entwicklung!$N$6:$N$36,20+1)</f>
        <v>1056786.0306356405</v>
      </c>
      <c r="D10" s="23">
        <f>INDEX(Entwicklung!$N$6:$N$36,30+1)</f>
        <v>1342972.3402752115</v>
      </c>
    </row>
    <row r="11" spans="1:4" x14ac:dyDescent="0.3">
      <c r="A11" s="22" t="s">
        <v>66</v>
      </c>
      <c r="B11" s="23">
        <f>INDEX(Entwicklung!$S$6:$S$36,10+1)</f>
        <v>974659.87538460444</v>
      </c>
      <c r="C11" s="23">
        <f>INDEX(Entwicklung!$S$6:$S$36,20+1)</f>
        <v>1436044.0006009422</v>
      </c>
      <c r="D11" s="23">
        <f>INDEX(Entwicklung!$S$6:$S$36,30+1)</f>
        <v>2221550.7528485861</v>
      </c>
    </row>
    <row r="12" spans="1:4" x14ac:dyDescent="0.3">
      <c r="A12" s="22" t="s">
        <v>67</v>
      </c>
      <c r="B12" s="23">
        <f>INDEX(Entwicklung!$X$6:$X$36,10+1)</f>
        <v>1105705.1393159777</v>
      </c>
      <c r="C12" s="23">
        <f>INDEX(Entwicklung!$X$6:$X$36,20+1)</f>
        <v>1962633.7805777257</v>
      </c>
      <c r="D12" s="23">
        <f>INDEX(Entwicklung!$X$6:$X$36,30+1)</f>
        <v>3695285.7998227412</v>
      </c>
    </row>
    <row r="13" spans="1:4" x14ac:dyDescent="0.3">
      <c r="A13" s="6" t="s">
        <v>68</v>
      </c>
      <c r="B13" s="5"/>
      <c r="C13" s="5"/>
      <c r="D13" s="5"/>
    </row>
    <row r="14" spans="1:4" x14ac:dyDescent="0.3">
      <c r="A14" s="5"/>
      <c r="B14" s="5"/>
      <c r="C14" s="5"/>
      <c r="D14" s="5"/>
    </row>
    <row r="15" spans="1:4" x14ac:dyDescent="0.3">
      <c r="A15" s="10" t="s">
        <v>69</v>
      </c>
      <c r="B15" s="11"/>
      <c r="C15" s="11"/>
      <c r="D15" s="11"/>
    </row>
    <row r="16" spans="1:4" x14ac:dyDescent="0.3">
      <c r="A16" s="12" t="s">
        <v>61</v>
      </c>
      <c r="B16" s="12" t="s">
        <v>70</v>
      </c>
      <c r="C16" s="12" t="s">
        <v>71</v>
      </c>
      <c r="D16" s="12" t="s">
        <v>72</v>
      </c>
    </row>
    <row r="17" spans="1:4" x14ac:dyDescent="0.3">
      <c r="A17" s="7" t="s">
        <v>73</v>
      </c>
      <c r="B17" s="5"/>
      <c r="C17" s="5"/>
      <c r="D17" s="5"/>
    </row>
    <row r="18" spans="1:4" x14ac:dyDescent="0.3">
      <c r="A18" s="5" t="str">
        <f>"Vorsichtig ("&amp;TEXT(Eingaben!$C$17,"0.0%")&amp;")"</f>
        <v>Vorsichtig (03%)</v>
      </c>
      <c r="B18" s="24" cm="1">
        <f t="array" ref="B18">Eingaben!$B$12*(1+Eingaben!$C$17)^10+Eingaben!$B$10*(1+Eingaben!$C$20)^10+SUMPRODUCT(('Leiter 3 und 5 Jahre'!$E$9:$E$13&gt;10)*'Leiter 3 und 5 Jahre'!$O$9:$O$13)*(1+Eingaben!$C$21)^10</f>
        <v>325661.60345570679</v>
      </c>
      <c r="C18" s="24" cm="1">
        <f t="array" ref="C18">Eingaben!$B$12*(1+Eingaben!$C$17)^20+Eingaben!$B$10*(1+Eingaben!$C$20)^20+SUMPRODUCT(('Leiter 3 und 5 Jahre'!$E$9:$E$13&gt;20)*'Leiter 3 und 5 Jahre'!$O$9:$O$13)*(1+Eingaben!$C$21)^20</f>
        <v>427344.47162727092</v>
      </c>
      <c r="D18" s="24" cm="1">
        <f t="array" ref="D18">Eingaben!$B$12*(1+Eingaben!$C$17)^30+Eingaben!$B$10*(1+Eingaben!$C$20)^30+SUMPRODUCT(('Leiter 3 und 5 Jahre'!$E$9:$E$13&gt;30)*'Leiter 3 und 5 Jahre'!$O$9:$O$13)*(1+Eingaben!$C$21)^30</f>
        <v>563997.74366172496</v>
      </c>
    </row>
    <row r="19" spans="1:4" x14ac:dyDescent="0.3">
      <c r="A19" s="5" t="str">
        <f>"Mittel ("&amp;TEXT(Eingaben!$C$18,"0.0%")&amp;")"</f>
        <v>Mittel (05%)</v>
      </c>
      <c r="B19" s="24" cm="1">
        <f t="array" ref="B19">Eingaben!$B$12*(1+Eingaben!$C$18)^10+Eingaben!$B$10*(1+Eingaben!$C$20)^10+SUMPRODUCT(('Leiter 3 und 5 Jahre'!$E$9:$E$13&gt;10)*'Leiter 3 und 5 Jahre'!$O$9:$O$13)*(1+Eingaben!$C$21)^10</f>
        <v>388356.81789103715</v>
      </c>
      <c r="C19" s="24" cm="1">
        <f t="array" ref="C19">Eingaben!$B$12*(1+Eingaben!$C$18)^20+Eingaben!$B$10*(1+Eingaben!$C$20)^20+SUMPRODUCT(('Leiter 3 und 5 Jahre'!$E$9:$E$13&gt;20)*'Leiter 3 und 5 Jahre'!$O$9:$O$13)*(1+Eingaben!$C$21)^20</f>
        <v>613725.49513177259</v>
      </c>
      <c r="D19" s="24" cm="1">
        <f t="array" ref="D19">Eingaben!$B$12*(1+Eingaben!$C$18)^30+Eingaben!$B$10*(1+Eingaben!$C$20)^30+SUMPRODUCT(('Leiter 3 und 5 Jahre'!$E$9:$E$13&gt;30)*'Leiter 3 und 5 Jahre'!$O$9:$O$13)*(1+Eingaben!$C$21)^30</f>
        <v>980827.32253314578</v>
      </c>
    </row>
    <row r="20" spans="1:4" x14ac:dyDescent="0.3">
      <c r="A20" s="5" t="str">
        <f>"Gut ("&amp;TEXT(Eingaben!$C$19,"0.0%")&amp;")"</f>
        <v>Gut (07%)</v>
      </c>
      <c r="B20" s="24" cm="1">
        <f t="array" ref="B20">Eingaben!$B$12*(1+Eingaben!$C$19)^10+Eingaben!$B$10*(1+Eingaben!$C$20)^10+SUMPRODUCT(('Leiter 3 und 5 Jahre'!$E$9:$E$13&gt;10)*'Leiter 3 und 5 Jahre'!$O$9:$O$13)*(1+Eingaben!$C$21)^10</f>
        <v>462773.29860370443</v>
      </c>
      <c r="C20" s="24" cm="1">
        <f t="array" ref="C20">Eingaben!$B$12*(1+Eingaben!$C$19)^20+Eingaben!$B$10*(1+Eingaben!$C$20)^20+SUMPRODUCT(('Leiter 3 und 5 Jahre'!$E$9:$E$13&gt;20)*'Leiter 3 und 5 Jahre'!$O$9:$O$13)*(1+Eingaben!$C$21)^20</f>
        <v>881330.58174695948</v>
      </c>
      <c r="D20" s="24" cm="1">
        <f t="array" ref="D20">Eingaben!$B$12*(1+Eingaben!$C$19)^30+Eingaben!$B$10*(1+Eingaben!$C$20)^30+SUMPRODUCT(('Leiter 3 und 5 Jahre'!$E$9:$E$13&gt;30)*'Leiter 3 und 5 Jahre'!$O$9:$O$13)*(1+Eingaben!$C$21)^30</f>
        <v>1704696.1093856466</v>
      </c>
    </row>
    <row r="21" spans="1:4" x14ac:dyDescent="0.3">
      <c r="A21" s="7" t="s">
        <v>74</v>
      </c>
      <c r="B21" s="5"/>
      <c r="C21" s="5"/>
      <c r="D21" s="5"/>
    </row>
    <row r="22" spans="1:4" x14ac:dyDescent="0.3">
      <c r="A22" s="5" t="str">
        <f>"Vorsichtig ("&amp;TEXT(Eingaben!$C$17,"0.0%")&amp;")"</f>
        <v>Vorsichtig (03%)</v>
      </c>
      <c r="B22" s="24" cm="1">
        <f t="array" ref="B22">Eingaben!$B$12*(1+Eingaben!$C$17)^10+Eingaben!$B$10*(1+Eingaben!$C$20)^10+SUMPRODUCT(('Leiter 3 und 5 Jahre'!$E$9:$E$13&gt;10)*'Leiter 3 und 5 Jahre'!$O$9:$O$13)*(1+Eingaben!$C$21)^10+SUMPRODUCT(('Leiter 3 und 5 Jahre'!$E$9:$E$13&lt;=10)*'Leiter 3 und 5 Jahre'!$P$9:$P$13*(1+Eingaben!$C$17)^(10-'Leiter 3 und 5 Jahre'!$E$9:$E$13))</f>
        <v>950245.71489108773</v>
      </c>
      <c r="C22" s="24" cm="1">
        <f t="array" ref="C22">Eingaben!$B$12*(1+Eingaben!$C$17)^20+Eingaben!$B$10*(1+Eingaben!$C$20)^20+SUMPRODUCT(('Leiter 3 und 5 Jahre'!$E$9:$E$13&gt;20)*'Leiter 3 und 5 Jahre'!$O$9:$O$13)*(1+Eingaben!$C$21)^20+SUMPRODUCT(('Leiter 3 und 5 Jahre'!$E$9:$E$13&lt;=20)*'Leiter 3 und 5 Jahre'!$P$9:$P$13*(1+Eingaben!$C$17)^(20-'Leiter 3 und 5 Jahre'!$E$9:$E$13))</f>
        <v>1266733.2892633737</v>
      </c>
      <c r="D22" s="24" cm="1">
        <f t="array" ref="D22">Eingaben!$B$12*(1+Eingaben!$C$17)^30+Eingaben!$B$10*(1+Eingaben!$C$20)^30+SUMPRODUCT(('Leiter 3 und 5 Jahre'!$E$9:$E$13&gt;30)*'Leiter 3 und 5 Jahre'!$O$9:$O$13)*(1+Eingaben!$C$21)^30+SUMPRODUCT(('Leiter 3 und 5 Jahre'!$E$9:$E$13&lt;=30)*'Leiter 3 und 5 Jahre'!$P$9:$P$13*(1+Eingaben!$C$17)^(30-'Leiter 3 und 5 Jahre'!$E$9:$E$13))</f>
        <v>1692066.1243211792</v>
      </c>
    </row>
    <row r="23" spans="1:4" x14ac:dyDescent="0.3">
      <c r="A23" s="5" t="str">
        <f>"Mittel ("&amp;TEXT(Eingaben!$C$18,"0.0%")&amp;")"</f>
        <v>Mittel (05%)</v>
      </c>
      <c r="B23" s="24" cm="1">
        <f t="array" ref="B23">Eingaben!$B$12*(1+Eingaben!$C$18)^10+Eingaben!$B$10*(1+Eingaben!$C$20)^10+SUMPRODUCT(('Leiter 3 und 5 Jahre'!$E$9:$E$13&gt;10)*'Leiter 3 und 5 Jahre'!$O$9:$O$13)*(1+Eingaben!$C$21)^10+SUMPRODUCT(('Leiter 3 und 5 Jahre'!$E$9:$E$13&lt;=10)*'Leiter 3 und 5 Jahre'!$P$9:$P$13*(1+Eingaben!$C$18)^(10-'Leiter 3 und 5 Jahre'!$E$9:$E$13))</f>
        <v>1103884.1117963591</v>
      </c>
      <c r="C23" s="24" cm="1">
        <f t="array" ref="C23">Eingaben!$B$12*(1+Eingaben!$C$18)^20+Eingaben!$B$10*(1+Eingaben!$C$20)^20+SUMPRODUCT(('Leiter 3 und 5 Jahre'!$E$9:$E$13&gt;20)*'Leiter 3 und 5 Jahre'!$O$9:$O$13)*(1+Eingaben!$C$21)^20+SUMPRODUCT(('Leiter 3 und 5 Jahre'!$E$9:$E$13&lt;=20)*'Leiter 3 und 5 Jahre'!$P$9:$P$13*(1+Eingaben!$C$18)^(20-'Leiter 3 und 5 Jahre'!$E$9:$E$13))</f>
        <v>1779244.0594867547</v>
      </c>
      <c r="D23" s="24" cm="1">
        <f t="array" ref="D23">Eingaben!$B$12*(1+Eingaben!$C$18)^30+Eingaben!$B$10*(1+Eingaben!$C$20)^30+SUMPRODUCT(('Leiter 3 und 5 Jahre'!$E$9:$E$13&gt;30)*'Leiter 3 und 5 Jahre'!$O$9:$O$13)*(1+Eingaben!$C$21)^30+SUMPRODUCT(('Leiter 3 und 5 Jahre'!$E$9:$E$13&lt;=30)*'Leiter 3 und 5 Jahre'!$P$9:$P$13*(1+Eingaben!$C$18)^(30-'Leiter 3 und 5 Jahre'!$E$9:$E$13))</f>
        <v>2879334.2494203341</v>
      </c>
    </row>
    <row r="24" spans="1:4" x14ac:dyDescent="0.3">
      <c r="A24" s="5" t="str">
        <f>"Gut ("&amp;TEXT(Eingaben!$C$19,"0.0%")&amp;")"</f>
        <v>Gut (07%)</v>
      </c>
      <c r="B24" s="24" cm="1">
        <f t="array" ref="B24">Eingaben!$B$12*(1+Eingaben!$C$19)^10+Eingaben!$B$10*(1+Eingaben!$C$20)^10+SUMPRODUCT(('Leiter 3 und 5 Jahre'!$E$9:$E$13&gt;10)*'Leiter 3 und 5 Jahre'!$O$9:$O$13)*(1+Eingaben!$C$21)^10+SUMPRODUCT(('Leiter 3 und 5 Jahre'!$E$9:$E$13&lt;=10)*'Leiter 3 und 5 Jahre'!$P$9:$P$13*(1+Eingaben!$C$19)^(10-'Leiter 3 und 5 Jahre'!$E$9:$E$13))</f>
        <v>1280972.3062982145</v>
      </c>
      <c r="C24" s="24" cm="1">
        <f t="array" ref="C24">Eingaben!$B$12*(1+Eingaben!$C$19)^20+Eingaben!$B$10*(1+Eingaben!$C$20)^20+SUMPRODUCT(('Leiter 3 und 5 Jahre'!$E$9:$E$13&gt;20)*'Leiter 3 und 5 Jahre'!$O$9:$O$13)*(1+Eingaben!$C$21)^20+SUMPRODUCT(('Leiter 3 und 5 Jahre'!$E$9:$E$13&lt;=20)*'Leiter 3 und 5 Jahre'!$P$9:$P$13*(1+Eingaben!$C$19)^(20-'Leiter 3 und 5 Jahre'!$E$9:$E$13))</f>
        <v>2490851.8702661903</v>
      </c>
      <c r="D24" s="24" cm="1">
        <f t="array" ref="D24">Eingaben!$B$12*(1+Eingaben!$C$19)^30+Eingaben!$B$10*(1+Eingaben!$C$20)^30+SUMPRODUCT(('Leiter 3 und 5 Jahre'!$E$9:$E$13&gt;30)*'Leiter 3 und 5 Jahre'!$O$9:$O$13)*(1+Eingaben!$C$21)^30+SUMPRODUCT(('Leiter 3 und 5 Jahre'!$E$9:$E$13&lt;=30)*'Leiter 3 und 5 Jahre'!$P$9:$P$13*(1+Eingaben!$C$19)^(30-'Leiter 3 und 5 Jahre'!$E$9:$E$13))</f>
        <v>4870868.0966827022</v>
      </c>
    </row>
    <row r="25" spans="1:4" x14ac:dyDescent="0.3">
      <c r="A25" s="6" t="s">
        <v>75</v>
      </c>
      <c r="B25" s="5"/>
      <c r="C25" s="5"/>
      <c r="D25" s="5"/>
    </row>
    <row r="26" spans="1:4" x14ac:dyDescent="0.3">
      <c r="A26" s="5"/>
      <c r="B26" s="5"/>
      <c r="C26" s="5"/>
      <c r="D26" s="5"/>
    </row>
    <row r="27" spans="1:4" x14ac:dyDescent="0.3">
      <c r="A27" s="10" t="s">
        <v>76</v>
      </c>
      <c r="B27" s="11"/>
      <c r="C27" s="11"/>
      <c r="D27" s="11"/>
    </row>
    <row r="28" spans="1:4" x14ac:dyDescent="0.3">
      <c r="A28" s="5" t="s">
        <v>77</v>
      </c>
      <c r="B28" s="16">
        <v>0</v>
      </c>
      <c r="C28" s="5"/>
      <c r="D28" s="5"/>
    </row>
    <row r="29" spans="1:4" x14ac:dyDescent="0.3">
      <c r="A29" s="5" t="s">
        <v>78</v>
      </c>
      <c r="B29" s="15">
        <v>3</v>
      </c>
      <c r="C29" s="5"/>
      <c r="D29" s="5"/>
    </row>
    <row r="30" spans="1:4" x14ac:dyDescent="0.3">
      <c r="A30" s="5" t="s">
        <v>79</v>
      </c>
      <c r="B30" s="25">
        <f>B28*12*B29</f>
        <v>0</v>
      </c>
      <c r="C30" s="5"/>
      <c r="D30" s="5"/>
    </row>
    <row r="31" spans="1:4" x14ac:dyDescent="0.3">
      <c r="A31" s="12"/>
      <c r="B31" s="12" t="s">
        <v>80</v>
      </c>
      <c r="C31" s="12" t="s">
        <v>81</v>
      </c>
      <c r="D31" s="12" t="s">
        <v>82</v>
      </c>
    </row>
    <row r="32" spans="1:4" x14ac:dyDescent="0.3">
      <c r="A32" s="5" t="s">
        <v>83</v>
      </c>
      <c r="B32" s="26">
        <f>Eingaben!C17</f>
        <v>0.03</v>
      </c>
      <c r="C32" s="26">
        <f>Eingaben!C18</f>
        <v>0.05</v>
      </c>
      <c r="D32" s="26">
        <f>Eingaben!C19</f>
        <v>7.0000000000000007E-2</v>
      </c>
    </row>
    <row r="33" spans="1:4" x14ac:dyDescent="0.3">
      <c r="A33" s="7" t="s">
        <v>84</v>
      </c>
      <c r="B33" s="27">
        <f>-IF(B32=0,$B$28*12*$B$29,$B$28*12*((1+B32)^$B$29-1)/B32)</f>
        <v>0</v>
      </c>
      <c r="C33" s="27">
        <f>-IF(C32=0,$B$28*12*$B$29,$B$28*12*((1+C32)^$B$29-1)/C32)</f>
        <v>0</v>
      </c>
      <c r="D33" s="27">
        <f>-IF(D32=0,$B$28*12*$B$29,$B$28*12*((1+D32)^$B$29-1)/D32)</f>
        <v>0</v>
      </c>
    </row>
    <row r="34" spans="1:4" x14ac:dyDescent="0.3">
      <c r="A34" s="6" t="s">
        <v>85</v>
      </c>
      <c r="B34" s="5"/>
      <c r="C34" s="5"/>
      <c r="D34" s="5"/>
    </row>
    <row r="35" spans="1:4" x14ac:dyDescent="0.3">
      <c r="A35" s="5"/>
      <c r="B35" s="5"/>
      <c r="C35" s="5"/>
      <c r="D35" s="5"/>
    </row>
    <row r="36" spans="1:4" x14ac:dyDescent="0.3">
      <c r="A36" s="10" t="s">
        <v>86</v>
      </c>
      <c r="B36" s="11"/>
      <c r="C36" s="11"/>
      <c r="D36" s="11"/>
    </row>
    <row r="37" spans="1:4" x14ac:dyDescent="0.3">
      <c r="A37" s="5" t="s">
        <v>87</v>
      </c>
      <c r="B37" s="28">
        <f>Eingaben!B12</f>
        <v>220000</v>
      </c>
      <c r="C37" s="5"/>
      <c r="D37" s="5"/>
    </row>
    <row r="38" spans="1:4" x14ac:dyDescent="0.3">
      <c r="A38" s="5" t="str">
        <f>"Topf 3 nach Kurssturz von "&amp;TEXT(-Eingaben!B32,"0%")</f>
        <v>Topf 3 nach Kurssturz von 40%</v>
      </c>
      <c r="B38" s="25">
        <f>B37*(1+Eingaben!B32)</f>
        <v>132000</v>
      </c>
      <c r="C38" s="5"/>
      <c r="D38" s="5"/>
    </row>
    <row r="39" spans="1:4" x14ac:dyDescent="0.3">
      <c r="A39" s="5" t="s">
        <v>88</v>
      </c>
      <c r="B39" s="25">
        <f>Eingaben!B10+Eingaben!B11+B38</f>
        <v>662000</v>
      </c>
      <c r="C39" s="5"/>
      <c r="D39" s="5"/>
    </row>
    <row r="40" spans="1:4" x14ac:dyDescent="0.3">
      <c r="A40" s="5" t="s">
        <v>89</v>
      </c>
      <c r="B40" s="14">
        <f>IF(Eingaben!B7&gt;0,B39/Eingaben!B7-1,0)</f>
        <v>-0.11733333333333329</v>
      </c>
      <c r="C40" s="5"/>
      <c r="D40" s="5"/>
    </row>
    <row r="41" spans="1:4" x14ac:dyDescent="0.3">
      <c r="A41" s="5" t="s">
        <v>90</v>
      </c>
      <c r="B41" s="28">
        <f>'Leiter 3 und 5 Jahre'!$Q$14</f>
        <v>15500</v>
      </c>
      <c r="C41" s="5"/>
      <c r="D41" s="5"/>
    </row>
    <row r="42" spans="1:4" x14ac:dyDescent="0.3">
      <c r="A42" s="5" t="s">
        <v>91</v>
      </c>
      <c r="B42" s="28">
        <f>Einstieg!B10</f>
        <v>154</v>
      </c>
      <c r="C42" s="5"/>
      <c r="D42" s="5"/>
    </row>
    <row r="43" spans="1:4" x14ac:dyDescent="0.3">
      <c r="A43" s="5" t="s">
        <v>92</v>
      </c>
      <c r="B43" s="25">
        <f>Eingaben!B10+Eingaben!B11</f>
        <v>530000</v>
      </c>
      <c r="C43" s="5"/>
      <c r="D43" s="5"/>
    </row>
    <row r="44" spans="1:4" x14ac:dyDescent="0.3">
      <c r="A44" s="5"/>
      <c r="B44" s="5"/>
      <c r="C44" s="5"/>
      <c r="D44" s="5"/>
    </row>
    <row r="45" spans="1:4" x14ac:dyDescent="0.3">
      <c r="A45" s="6" t="s">
        <v>167</v>
      </c>
      <c r="B45" s="5"/>
      <c r="C45" s="5"/>
      <c r="D45" s="5"/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5FA01-E691-4DC7-8F32-C8048FAA0270}">
  <dimension ref="A1:Q26"/>
  <sheetViews>
    <sheetView showGridLines="0" workbookViewId="0">
      <selection activeCell="B7" sqref="B7"/>
    </sheetView>
  </sheetViews>
  <sheetFormatPr baseColWidth="10" defaultRowHeight="14.4" x14ac:dyDescent="0.3"/>
  <cols>
    <col min="1" max="2" width="27.77734375" customWidth="1"/>
    <col min="3" max="3" width="19.44140625" customWidth="1"/>
    <col min="4" max="4" width="14.77734375" customWidth="1"/>
    <col min="5" max="5" width="16.6640625" customWidth="1"/>
    <col min="6" max="6" width="11.109375" customWidth="1"/>
    <col min="7" max="9" width="13.88671875" customWidth="1"/>
    <col min="10" max="11" width="16.6640625" customWidth="1"/>
    <col min="12" max="17" width="18.5546875" customWidth="1"/>
  </cols>
  <sheetData>
    <row r="1" spans="1:17" ht="19.2" x14ac:dyDescent="0.35">
      <c r="A1" s="36" t="s">
        <v>141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7" x14ac:dyDescent="0.3">
      <c r="A2" s="37" t="s">
        <v>142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7" x14ac:dyDescent="0.3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7" x14ac:dyDescent="0.3">
      <c r="A4" s="43" t="s">
        <v>143</v>
      </c>
      <c r="B4" s="48">
        <f>Eingaben!B11</f>
        <v>500000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7" x14ac:dyDescent="0.3">
      <c r="A5" s="43" t="s">
        <v>13</v>
      </c>
      <c r="B5" s="47">
        <f>Eingaben!B8</f>
        <v>2026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7" x14ac:dyDescent="0.3">
      <c r="A6" s="43" t="s">
        <v>144</v>
      </c>
      <c r="B6" s="49">
        <v>46305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7" x14ac:dyDescent="0.3">
      <c r="A7" s="38" t="s">
        <v>158</v>
      </c>
      <c r="B7" s="63">
        <v>5</v>
      </c>
      <c r="C7" s="35"/>
      <c r="D7" s="35"/>
      <c r="E7" s="35"/>
      <c r="F7" s="35"/>
      <c r="G7" s="40" t="s">
        <v>145</v>
      </c>
      <c r="H7" s="58">
        <v>3</v>
      </c>
      <c r="I7" s="58">
        <v>5</v>
      </c>
      <c r="J7" s="35"/>
      <c r="K7" s="35"/>
      <c r="L7" s="35"/>
      <c r="M7" s="35"/>
    </row>
    <row r="8" spans="1:17" ht="34.049999999999997" customHeight="1" x14ac:dyDescent="0.3">
      <c r="A8" s="41" t="s">
        <v>93</v>
      </c>
      <c r="B8" s="41" t="s">
        <v>94</v>
      </c>
      <c r="C8" s="41" t="s">
        <v>95</v>
      </c>
      <c r="D8" s="41" t="s">
        <v>96</v>
      </c>
      <c r="E8" s="41" t="s">
        <v>100</v>
      </c>
      <c r="F8" s="41" t="s">
        <v>146</v>
      </c>
      <c r="G8" s="41" t="s">
        <v>98</v>
      </c>
      <c r="H8" s="41" t="str">
        <f>"Anteil "&amp;H7&amp;" J."</f>
        <v>Anteil 3 J.</v>
      </c>
      <c r="I8" s="41" t="str">
        <f>"Anteil "&amp;I7&amp;" J."</f>
        <v>Anteil 5 J.</v>
      </c>
      <c r="J8" s="41" t="str">
        <f>"Betrag "&amp;H7&amp;" J. €"</f>
        <v>Betrag 3 J. €</v>
      </c>
      <c r="K8" s="41" t="str">
        <f>"Betrag "&amp;I7&amp;" J. €"</f>
        <v>Betrag 5 J. €</v>
      </c>
      <c r="L8" s="41" t="str">
        <f>"Ertrag/Jahr "&amp;H7&amp;" J. €"</f>
        <v>Ertrag/Jahr 3 J. €</v>
      </c>
      <c r="M8" s="41" t="str">
        <f>"Ertrag/Jahr "&amp;I7&amp;" J. €"</f>
        <v>Ertrag/Jahr 5 J. €</v>
      </c>
      <c r="N8" s="41" t="s">
        <v>159</v>
      </c>
      <c r="O8" s="41" t="s">
        <v>160</v>
      </c>
      <c r="P8" s="41" t="s">
        <v>161</v>
      </c>
      <c r="Q8" s="41" t="s">
        <v>162</v>
      </c>
    </row>
    <row r="9" spans="1:17" x14ac:dyDescent="0.3">
      <c r="A9" s="56">
        <v>1</v>
      </c>
      <c r="B9" s="45" t="s">
        <v>147</v>
      </c>
      <c r="C9" s="46" t="s">
        <v>101</v>
      </c>
      <c r="D9" s="49">
        <v>46692</v>
      </c>
      <c r="E9" s="57">
        <f>MAX(0,YEAR(D9)-$B$5)</f>
        <v>1</v>
      </c>
      <c r="F9" s="50">
        <v>103.35</v>
      </c>
      <c r="G9" s="51">
        <v>2.47E-2</v>
      </c>
      <c r="H9" s="52">
        <f>IF(AND($E9&gt;=1,$E9&lt;=H$7),1/H$7,0)</f>
        <v>0.33333333333333331</v>
      </c>
      <c r="I9" s="52">
        <f>IF(AND($E9&gt;=1,$E9&lt;=I$7),1/I$7,0)</f>
        <v>0.2</v>
      </c>
      <c r="J9" s="54">
        <f>$B$4*H9</f>
        <v>166666.66666666666</v>
      </c>
      <c r="K9" s="54">
        <f>$B$4*I9</f>
        <v>100000</v>
      </c>
      <c r="L9" s="54">
        <f>J9*$G9</f>
        <v>4116.6666666666661</v>
      </c>
      <c r="M9" s="54">
        <f>K9*$G9</f>
        <v>2470</v>
      </c>
      <c r="N9" s="52">
        <f>IF($B$7=$H$7,H9,I9)</f>
        <v>0.2</v>
      </c>
      <c r="O9" s="54">
        <f>$B$4*N9</f>
        <v>100000</v>
      </c>
      <c r="P9" s="54">
        <f>O9*(1+Eingaben!$C$21)^E9</f>
        <v>100499.99999999999</v>
      </c>
      <c r="Q9" s="54">
        <f>O9*G9</f>
        <v>2470</v>
      </c>
    </row>
    <row r="10" spans="1:17" x14ac:dyDescent="0.3">
      <c r="A10" s="56">
        <v>2</v>
      </c>
      <c r="B10" s="45" t="s">
        <v>148</v>
      </c>
      <c r="C10" s="46" t="s">
        <v>102</v>
      </c>
      <c r="D10" s="49">
        <v>46966</v>
      </c>
      <c r="E10" s="57">
        <f>MAX(0,YEAR(D10)-$B$5)</f>
        <v>2</v>
      </c>
      <c r="F10" s="50">
        <v>100.68</v>
      </c>
      <c r="G10" s="51">
        <v>2.9399999999999999E-2</v>
      </c>
      <c r="H10" s="52">
        <f>IF(AND($E10&gt;=1,$E10&lt;=H$7),1/H$7,0)</f>
        <v>0.33333333333333331</v>
      </c>
      <c r="I10" s="52">
        <f>IF(AND($E10&gt;=1,$E10&lt;=I$7),1/I$7,0)</f>
        <v>0.2</v>
      </c>
      <c r="J10" s="54">
        <f>$B$4*H10</f>
        <v>166666.66666666666</v>
      </c>
      <c r="K10" s="54">
        <f>$B$4*I10</f>
        <v>100000</v>
      </c>
      <c r="L10" s="54">
        <f>J10*$G10</f>
        <v>4900</v>
      </c>
      <c r="M10" s="54">
        <f>K10*$G10</f>
        <v>2940</v>
      </c>
      <c r="N10" s="52">
        <f>IF($B$7=$H$7,H10,I10)</f>
        <v>0.2</v>
      </c>
      <c r="O10" s="54">
        <f>$B$4*N10</f>
        <v>100000</v>
      </c>
      <c r="P10" s="54">
        <f>O10*(1+Eingaben!$C$21)^E10</f>
        <v>101002.49999999997</v>
      </c>
      <c r="Q10" s="54">
        <f>O10*G10</f>
        <v>2940</v>
      </c>
    </row>
    <row r="11" spans="1:17" x14ac:dyDescent="0.3">
      <c r="A11" s="56">
        <v>3</v>
      </c>
      <c r="B11" s="45" t="s">
        <v>149</v>
      </c>
      <c r="C11" s="46" t="s">
        <v>103</v>
      </c>
      <c r="D11" s="49">
        <v>47392</v>
      </c>
      <c r="E11" s="57">
        <f>MAX(0,YEAR(D11)-$B$5)</f>
        <v>3</v>
      </c>
      <c r="F11" s="50">
        <v>98.15</v>
      </c>
      <c r="G11" s="51">
        <v>3.2099999999999997E-2</v>
      </c>
      <c r="H11" s="52">
        <f>IF(AND($E11&gt;=1,$E11&lt;=H$7),1/H$7,0)</f>
        <v>0.33333333333333331</v>
      </c>
      <c r="I11" s="52">
        <f>IF(AND($E11&gt;=1,$E11&lt;=I$7),1/I$7,0)</f>
        <v>0.2</v>
      </c>
      <c r="J11" s="54">
        <f>$B$4*H11</f>
        <v>166666.66666666666</v>
      </c>
      <c r="K11" s="54">
        <f>$B$4*I11</f>
        <v>100000</v>
      </c>
      <c r="L11" s="54">
        <f>J11*$G11</f>
        <v>5349.9999999999991</v>
      </c>
      <c r="M11" s="54">
        <f>K11*$G11</f>
        <v>3209.9999999999995</v>
      </c>
      <c r="N11" s="52">
        <f>IF($B$7=$H$7,H11,I11)</f>
        <v>0.2</v>
      </c>
      <c r="O11" s="54">
        <f>$B$4*N11</f>
        <v>100000</v>
      </c>
      <c r="P11" s="54">
        <f>O11*(1+Eingaben!$C$21)^E11</f>
        <v>101507.51249999997</v>
      </c>
      <c r="Q11" s="54">
        <f>O11*G11</f>
        <v>3209.9999999999995</v>
      </c>
    </row>
    <row r="12" spans="1:17" x14ac:dyDescent="0.3">
      <c r="A12" s="56">
        <v>4</v>
      </c>
      <c r="B12" s="45" t="s">
        <v>150</v>
      </c>
      <c r="C12" s="46" t="s">
        <v>104</v>
      </c>
      <c r="D12" s="49">
        <v>47757</v>
      </c>
      <c r="E12" s="57">
        <f>MAX(0,YEAR(D12)-$B$5)</f>
        <v>4</v>
      </c>
      <c r="F12" s="50">
        <v>95.91</v>
      </c>
      <c r="G12" s="51">
        <v>3.3700000000000001E-2</v>
      </c>
      <c r="H12" s="52">
        <f>IF(AND($E12&gt;=1,$E12&lt;=H$7),1/H$7,0)</f>
        <v>0</v>
      </c>
      <c r="I12" s="52">
        <f>IF(AND($E12&gt;=1,$E12&lt;=I$7),1/I$7,0)</f>
        <v>0.2</v>
      </c>
      <c r="J12" s="54">
        <f>$B$4*H12</f>
        <v>0</v>
      </c>
      <c r="K12" s="54">
        <f>$B$4*I12</f>
        <v>100000</v>
      </c>
      <c r="L12" s="54">
        <f>J12*$G12</f>
        <v>0</v>
      </c>
      <c r="M12" s="54">
        <f>K12*$G12</f>
        <v>3370</v>
      </c>
      <c r="N12" s="52">
        <f>IF($B$7=$H$7,H12,I12)</f>
        <v>0.2</v>
      </c>
      <c r="O12" s="54">
        <f>$B$4*N12</f>
        <v>100000</v>
      </c>
      <c r="P12" s="54">
        <f>O12*(1+Eingaben!$C$21)^E12</f>
        <v>102015.05006249994</v>
      </c>
      <c r="Q12" s="54">
        <f>O12*G12</f>
        <v>3370</v>
      </c>
    </row>
    <row r="13" spans="1:17" x14ac:dyDescent="0.3">
      <c r="A13" s="56">
        <v>5</v>
      </c>
      <c r="B13" s="45" t="s">
        <v>151</v>
      </c>
      <c r="C13" s="46" t="s">
        <v>105</v>
      </c>
      <c r="D13" s="49">
        <v>48167</v>
      </c>
      <c r="E13" s="57">
        <f>MAX(0,YEAR(D13)-$B$5)</f>
        <v>5</v>
      </c>
      <c r="F13" s="50">
        <v>96.09</v>
      </c>
      <c r="G13" s="51">
        <v>3.5099999999999999E-2</v>
      </c>
      <c r="H13" s="52">
        <f>IF(AND($E13&gt;=1,$E13&lt;=H$7),1/H$7,0)</f>
        <v>0</v>
      </c>
      <c r="I13" s="52">
        <f>IF(AND($E13&gt;=1,$E13&lt;=I$7),1/I$7,0)</f>
        <v>0.2</v>
      </c>
      <c r="J13" s="54">
        <f>$B$4*H13</f>
        <v>0</v>
      </c>
      <c r="K13" s="54">
        <f>$B$4*I13</f>
        <v>100000</v>
      </c>
      <c r="L13" s="54">
        <f>J13*$G13</f>
        <v>0</v>
      </c>
      <c r="M13" s="54">
        <f>K13*$G13</f>
        <v>3510</v>
      </c>
      <c r="N13" s="52">
        <f>IF($B$7=$H$7,H13,I13)</f>
        <v>0.2</v>
      </c>
      <c r="O13" s="54">
        <f>$B$4*N13</f>
        <v>100000</v>
      </c>
      <c r="P13" s="54">
        <f>O13*(1+Eingaben!$C$21)^E13</f>
        <v>102525.12531281241</v>
      </c>
      <c r="Q13" s="54">
        <f>O13*G13</f>
        <v>3510</v>
      </c>
    </row>
    <row r="14" spans="1:17" x14ac:dyDescent="0.3">
      <c r="A14" s="44" t="s">
        <v>106</v>
      </c>
      <c r="B14" s="44"/>
      <c r="C14" s="44"/>
      <c r="D14" s="44"/>
      <c r="E14" s="44"/>
      <c r="F14" s="44"/>
      <c r="G14" s="44"/>
      <c r="H14" s="53">
        <f>SUM(H9:H13)</f>
        <v>1</v>
      </c>
      <c r="I14" s="53">
        <f>SUM(I9:I13)</f>
        <v>1</v>
      </c>
      <c r="J14" s="55">
        <f>SUM(J9:J13)</f>
        <v>500000</v>
      </c>
      <c r="K14" s="55">
        <f>SUM(K9:K13)</f>
        <v>500000</v>
      </c>
      <c r="L14" s="55">
        <f>SUM(L9:L13)</f>
        <v>14366.666666666664</v>
      </c>
      <c r="M14" s="55">
        <f>SUM(M9:M13)</f>
        <v>15500</v>
      </c>
      <c r="N14" s="53">
        <f>SUM(N9:N13)</f>
        <v>1</v>
      </c>
      <c r="O14" s="55">
        <f>SUM(O9:O13)</f>
        <v>500000</v>
      </c>
      <c r="P14" s="55">
        <f>SUM(P9:P13)</f>
        <v>507550.18787531223</v>
      </c>
      <c r="Q14" s="55">
        <f>SUM(Q9:Q13)</f>
        <v>15500</v>
      </c>
    </row>
    <row r="15" spans="1:17" x14ac:dyDescent="0.3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7" ht="15.6" x14ac:dyDescent="0.3">
      <c r="A16" s="39" t="s">
        <v>152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</row>
    <row r="17" spans="1:13" ht="34.049999999999997" customHeight="1" x14ac:dyDescent="0.3">
      <c r="A17" s="41" t="s">
        <v>153</v>
      </c>
      <c r="B17" s="41"/>
      <c r="C17" s="41" t="str">
        <f>H7&amp;" Jahre"</f>
        <v>3 Jahre</v>
      </c>
      <c r="D17" s="41" t="str">
        <f>I7&amp;" Jahre"</f>
        <v>5 Jahre</v>
      </c>
      <c r="E17" s="41" t="s">
        <v>166</v>
      </c>
      <c r="F17" s="35"/>
      <c r="G17" s="35"/>
      <c r="H17" s="35"/>
      <c r="I17" s="35"/>
      <c r="J17" s="35"/>
      <c r="K17" s="35"/>
      <c r="L17" s="35"/>
      <c r="M17" s="35"/>
    </row>
    <row r="18" spans="1:13" x14ac:dyDescent="0.3">
      <c r="A18" s="42" t="s">
        <v>97</v>
      </c>
      <c r="B18" s="42"/>
      <c r="C18" s="59">
        <f>J14</f>
        <v>500000</v>
      </c>
      <c r="D18" s="59">
        <f>K14</f>
        <v>500000</v>
      </c>
      <c r="E18" s="59">
        <f>O14</f>
        <v>500000</v>
      </c>
      <c r="F18" s="35"/>
      <c r="G18" s="35"/>
      <c r="H18" s="35"/>
      <c r="I18" s="35"/>
      <c r="J18" s="35"/>
      <c r="K18" s="35"/>
      <c r="L18" s="35"/>
      <c r="M18" s="35"/>
    </row>
    <row r="19" spans="1:13" x14ac:dyDescent="0.3">
      <c r="A19" s="42" t="s">
        <v>154</v>
      </c>
      <c r="B19" s="42"/>
      <c r="C19" s="60">
        <f>IF(J14&gt;0,L14/J14,0)</f>
        <v>2.8733333333333329E-2</v>
      </c>
      <c r="D19" s="60">
        <f>IF(K14&gt;0,M14/K14,0)</f>
        <v>3.1E-2</v>
      </c>
      <c r="E19" s="60">
        <f>IF(O14&gt;0,Q14/O14,0)</f>
        <v>3.1E-2</v>
      </c>
      <c r="F19" s="35"/>
      <c r="G19" s="35"/>
      <c r="H19" s="35"/>
      <c r="I19" s="35"/>
      <c r="J19" s="35"/>
      <c r="K19" s="35"/>
      <c r="L19" s="35"/>
      <c r="M19" s="35"/>
    </row>
    <row r="20" spans="1:13" x14ac:dyDescent="0.3">
      <c r="A20" s="42" t="s">
        <v>99</v>
      </c>
      <c r="B20" s="42"/>
      <c r="C20" s="59">
        <f>L14</f>
        <v>14366.666666666664</v>
      </c>
      <c r="D20" s="59">
        <f>M14</f>
        <v>15500</v>
      </c>
      <c r="E20" s="59">
        <f>Q14</f>
        <v>15500</v>
      </c>
      <c r="F20" s="35"/>
      <c r="G20" s="35"/>
      <c r="H20" s="35"/>
      <c r="I20" s="35"/>
      <c r="J20" s="35"/>
      <c r="K20" s="35"/>
      <c r="L20" s="35"/>
      <c r="M20" s="35"/>
    </row>
    <row r="21" spans="1:13" x14ac:dyDescent="0.3">
      <c r="A21" s="42" t="s">
        <v>155</v>
      </c>
      <c r="B21" s="42"/>
      <c r="C21" s="61">
        <f>SUMPRODUCT(H9:H13,$E$9:$E$13)</f>
        <v>2</v>
      </c>
      <c r="D21" s="61">
        <f>SUMPRODUCT(I9:I13,$E$9:$E$13)</f>
        <v>3</v>
      </c>
      <c r="E21" s="61">
        <f>SUMPRODUCT(N9:N13,$E$9:$E$13)</f>
        <v>3</v>
      </c>
      <c r="F21" s="35"/>
      <c r="G21" s="35"/>
      <c r="H21" s="35"/>
      <c r="I21" s="35"/>
      <c r="J21" s="35"/>
      <c r="K21" s="35"/>
      <c r="L21" s="35"/>
      <c r="M21" s="35"/>
    </row>
    <row r="22" spans="1:13" x14ac:dyDescent="0.3">
      <c r="A22" s="42" t="s">
        <v>156</v>
      </c>
      <c r="B22" s="42"/>
      <c r="C22" s="62">
        <f>_xlfn.MAXIFS($D$9:$D$13,H9:H13,"&gt;0")</f>
        <v>47392</v>
      </c>
      <c r="D22" s="62">
        <f>_xlfn.MAXIFS($D$9:$D$13,I9:I13,"&gt;0")</f>
        <v>48167</v>
      </c>
      <c r="E22" s="62">
        <f>_xlfn.MAXIFS($D$9:$D$13,N9:N13,"&gt;0")</f>
        <v>48167</v>
      </c>
      <c r="F22" s="35"/>
      <c r="G22" s="35"/>
      <c r="H22" s="35"/>
      <c r="I22" s="35"/>
      <c r="J22" s="35"/>
      <c r="K22" s="35"/>
      <c r="L22" s="35"/>
      <c r="M22" s="35"/>
    </row>
    <row r="23" spans="1:13" x14ac:dyDescent="0.3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13" x14ac:dyDescent="0.3">
      <c r="A24" s="37" t="s">
        <v>157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3" x14ac:dyDescent="0.3">
      <c r="A25" s="37" t="s">
        <v>163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</row>
    <row r="26" spans="1:13" x14ac:dyDescent="0.3">
      <c r="A26" s="37" t="s">
        <v>164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</row>
  </sheetData>
  <dataValidations count="1">
    <dataValidation type="list" allowBlank="1" showInputMessage="1" showErrorMessage="1" sqref="B7" xr:uid="{73962B5F-940D-439B-BB2F-7787841E4FD9}">
      <formula1>$H$7:$I$7</formula1>
    </dataValidation>
  </dataValidations>
  <pageMargins left="0.7" right="0.7" top="0.78740157499999996" bottom="0.78740157499999996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0"/>
  <sheetViews>
    <sheetView showGridLines="0" zoomScaleNormal="100" workbookViewId="0">
      <pane ySplit="13" topLeftCell="A14" activePane="bottomLeft" state="frozen"/>
      <selection pane="bottomLeft"/>
    </sheetView>
  </sheetViews>
  <sheetFormatPr baseColWidth="10" defaultColWidth="8.6640625" defaultRowHeight="14.4" x14ac:dyDescent="0.3"/>
  <cols>
    <col min="1" max="1" width="34" customWidth="1"/>
    <col min="2" max="3" width="16" customWidth="1"/>
    <col min="4" max="4" width="18" customWidth="1"/>
    <col min="5" max="5" width="22" customWidth="1"/>
  </cols>
  <sheetData>
    <row r="1" spans="1:5" ht="19.2" x14ac:dyDescent="0.35">
      <c r="A1" s="4" t="s">
        <v>107</v>
      </c>
      <c r="B1" s="5"/>
      <c r="C1" s="5"/>
      <c r="D1" s="5"/>
      <c r="E1" s="5"/>
    </row>
    <row r="2" spans="1:5" x14ac:dyDescent="0.3">
      <c r="A2" s="6" t="s">
        <v>108</v>
      </c>
      <c r="B2" s="5"/>
      <c r="C2" s="5"/>
      <c r="D2" s="5"/>
      <c r="E2" s="5"/>
    </row>
    <row r="3" spans="1:5" x14ac:dyDescent="0.3">
      <c r="A3" s="5"/>
      <c r="B3" s="5"/>
      <c r="C3" s="5"/>
      <c r="D3" s="5"/>
      <c r="E3" s="5"/>
    </row>
    <row r="4" spans="1:5" x14ac:dyDescent="0.3">
      <c r="A4" s="5" t="s">
        <v>109</v>
      </c>
      <c r="B4" s="28">
        <f>Eingaben!B12</f>
        <v>220000</v>
      </c>
      <c r="C4" s="5"/>
      <c r="D4" s="5"/>
      <c r="E4" s="5"/>
    </row>
    <row r="5" spans="1:5" x14ac:dyDescent="0.3">
      <c r="A5" s="5" t="s">
        <v>110</v>
      </c>
      <c r="B5" s="16">
        <v>140000</v>
      </c>
      <c r="C5" s="5"/>
      <c r="D5" s="5"/>
      <c r="E5" s="5"/>
    </row>
    <row r="6" spans="1:5" x14ac:dyDescent="0.3">
      <c r="A6" s="5" t="s">
        <v>111</v>
      </c>
      <c r="B6" s="15">
        <v>12</v>
      </c>
      <c r="C6" s="5"/>
      <c r="D6" s="5"/>
      <c r="E6" s="5"/>
    </row>
    <row r="7" spans="1:5" x14ac:dyDescent="0.3">
      <c r="A7" s="5" t="s">
        <v>112</v>
      </c>
      <c r="B7" s="13">
        <f>IF(B6&gt;0,MAX(0,B4-B5)/B6,0)</f>
        <v>6666.666666666667</v>
      </c>
      <c r="C7" s="5"/>
      <c r="D7" s="5"/>
      <c r="E7" s="5"/>
    </row>
    <row r="8" spans="1:5" x14ac:dyDescent="0.3">
      <c r="A8" s="5" t="s">
        <v>113</v>
      </c>
      <c r="B8" s="29">
        <v>46310</v>
      </c>
      <c r="C8" s="5"/>
      <c r="D8" s="5"/>
      <c r="E8" s="5"/>
    </row>
    <row r="9" spans="1:5" x14ac:dyDescent="0.3">
      <c r="A9" s="5" t="s">
        <v>114</v>
      </c>
      <c r="B9" s="20">
        <v>6.9999999999999999E-4</v>
      </c>
      <c r="C9" s="5"/>
      <c r="D9" s="5"/>
      <c r="E9" s="5"/>
    </row>
    <row r="10" spans="1:5" x14ac:dyDescent="0.3">
      <c r="A10" s="5" t="s">
        <v>115</v>
      </c>
      <c r="B10" s="25">
        <f>B4*B9</f>
        <v>154</v>
      </c>
      <c r="C10" s="5"/>
      <c r="D10" s="5"/>
      <c r="E10" s="5"/>
    </row>
    <row r="11" spans="1:5" x14ac:dyDescent="0.3">
      <c r="A11" s="6" t="s">
        <v>116</v>
      </c>
      <c r="B11" s="5"/>
      <c r="C11" s="5"/>
      <c r="D11" s="5"/>
      <c r="E11" s="5"/>
    </row>
    <row r="12" spans="1:5" x14ac:dyDescent="0.3">
      <c r="A12" s="5"/>
      <c r="B12" s="5"/>
      <c r="C12" s="5"/>
      <c r="D12" s="5"/>
      <c r="E12" s="5"/>
    </row>
    <row r="13" spans="1:5" ht="27.6" x14ac:dyDescent="0.3">
      <c r="A13" s="12" t="s">
        <v>117</v>
      </c>
      <c r="B13" s="12" t="s">
        <v>118</v>
      </c>
      <c r="C13" s="12" t="s">
        <v>119</v>
      </c>
      <c r="D13" s="12" t="s">
        <v>120</v>
      </c>
      <c r="E13" s="12" t="s">
        <v>121</v>
      </c>
    </row>
    <row r="14" spans="1:5" x14ac:dyDescent="0.3">
      <c r="A14" s="30">
        <f>IF(0&lt;=$B$6,0,"")</f>
        <v>0</v>
      </c>
      <c r="B14" s="32">
        <f>IF(A14="","",EDATE($B$8,0))</f>
        <v>46310</v>
      </c>
      <c r="C14" s="25">
        <f>IF($B$6&lt;0,"",MIN($B$5,$B$4))</f>
        <v>140000</v>
      </c>
      <c r="D14" s="25">
        <f>C14</f>
        <v>140000</v>
      </c>
      <c r="E14" s="25">
        <f t="shared" ref="E14:E50" si="0">IF(A14="","",$B$4-D14)</f>
        <v>80000</v>
      </c>
    </row>
    <row r="15" spans="1:5" x14ac:dyDescent="0.3">
      <c r="A15" s="30">
        <f>IF(1&lt;=$B$6,1,"")</f>
        <v>1</v>
      </c>
      <c r="B15" s="32">
        <f>IF(A15="","",EDATE($B$8,1))</f>
        <v>46341</v>
      </c>
      <c r="C15" s="25">
        <f t="shared" ref="C15:C50" si="1">IF(A15="","",$B$7)</f>
        <v>6666.666666666667</v>
      </c>
      <c r="D15" s="25">
        <f t="shared" ref="D15:D50" si="2">IF(A15="","",D14+C15)</f>
        <v>146666.66666666666</v>
      </c>
      <c r="E15" s="25">
        <f t="shared" si="0"/>
        <v>73333.333333333343</v>
      </c>
    </row>
    <row r="16" spans="1:5" x14ac:dyDescent="0.3">
      <c r="A16" s="30">
        <f>IF(2&lt;=$B$6,2,"")</f>
        <v>2</v>
      </c>
      <c r="B16" s="32">
        <f>IF(A16="","",EDATE($B$8,2))</f>
        <v>46371</v>
      </c>
      <c r="C16" s="25">
        <f t="shared" si="1"/>
        <v>6666.666666666667</v>
      </c>
      <c r="D16" s="25">
        <f t="shared" si="2"/>
        <v>153333.33333333331</v>
      </c>
      <c r="E16" s="25">
        <f t="shared" si="0"/>
        <v>66666.666666666686</v>
      </c>
    </row>
    <row r="17" spans="1:5" x14ac:dyDescent="0.3">
      <c r="A17" s="30">
        <f>IF(3&lt;=$B$6,3,"")</f>
        <v>3</v>
      </c>
      <c r="B17" s="32">
        <f>IF(A17="","",EDATE($B$8,3))</f>
        <v>46402</v>
      </c>
      <c r="C17" s="25">
        <f t="shared" si="1"/>
        <v>6666.666666666667</v>
      </c>
      <c r="D17" s="25">
        <f t="shared" si="2"/>
        <v>159999.99999999997</v>
      </c>
      <c r="E17" s="25">
        <f t="shared" si="0"/>
        <v>60000.000000000029</v>
      </c>
    </row>
    <row r="18" spans="1:5" x14ac:dyDescent="0.3">
      <c r="A18" s="30">
        <f>IF(4&lt;=$B$6,4,"")</f>
        <v>4</v>
      </c>
      <c r="B18" s="32">
        <f>IF(A18="","",EDATE($B$8,4))</f>
        <v>46433</v>
      </c>
      <c r="C18" s="25">
        <f t="shared" si="1"/>
        <v>6666.666666666667</v>
      </c>
      <c r="D18" s="25">
        <f t="shared" si="2"/>
        <v>166666.66666666663</v>
      </c>
      <c r="E18" s="25">
        <f t="shared" si="0"/>
        <v>53333.333333333372</v>
      </c>
    </row>
    <row r="19" spans="1:5" x14ac:dyDescent="0.3">
      <c r="A19" s="30">
        <f>IF(5&lt;=$B$6,5,"")</f>
        <v>5</v>
      </c>
      <c r="B19" s="32">
        <f>IF(A19="","",EDATE($B$8,5))</f>
        <v>46461</v>
      </c>
      <c r="C19" s="25">
        <f t="shared" si="1"/>
        <v>6666.666666666667</v>
      </c>
      <c r="D19" s="25">
        <f t="shared" si="2"/>
        <v>173333.33333333328</v>
      </c>
      <c r="E19" s="25">
        <f t="shared" si="0"/>
        <v>46666.666666666715</v>
      </c>
    </row>
    <row r="20" spans="1:5" x14ac:dyDescent="0.3">
      <c r="A20" s="30">
        <f>IF(6&lt;=$B$6,6,"")</f>
        <v>6</v>
      </c>
      <c r="B20" s="32">
        <f>IF(A20="","",EDATE($B$8,6))</f>
        <v>46492</v>
      </c>
      <c r="C20" s="25">
        <f t="shared" si="1"/>
        <v>6666.666666666667</v>
      </c>
      <c r="D20" s="25">
        <f t="shared" si="2"/>
        <v>179999.99999999994</v>
      </c>
      <c r="E20" s="25">
        <f t="shared" si="0"/>
        <v>40000.000000000058</v>
      </c>
    </row>
    <row r="21" spans="1:5" x14ac:dyDescent="0.3">
      <c r="A21" s="30">
        <f>IF(7&lt;=$B$6,7,"")</f>
        <v>7</v>
      </c>
      <c r="B21" s="32">
        <f>IF(A21="","",EDATE($B$8,7))</f>
        <v>46522</v>
      </c>
      <c r="C21" s="25">
        <f t="shared" si="1"/>
        <v>6666.666666666667</v>
      </c>
      <c r="D21" s="25">
        <f t="shared" si="2"/>
        <v>186666.6666666666</v>
      </c>
      <c r="E21" s="25">
        <f t="shared" si="0"/>
        <v>33333.333333333401</v>
      </c>
    </row>
    <row r="22" spans="1:5" x14ac:dyDescent="0.3">
      <c r="A22" s="30">
        <f>IF(8&lt;=$B$6,8,"")</f>
        <v>8</v>
      </c>
      <c r="B22" s="32">
        <f>IF(A22="","",EDATE($B$8,8))</f>
        <v>46553</v>
      </c>
      <c r="C22" s="25">
        <f t="shared" si="1"/>
        <v>6666.666666666667</v>
      </c>
      <c r="D22" s="25">
        <f t="shared" si="2"/>
        <v>193333.33333333326</v>
      </c>
      <c r="E22" s="25">
        <f t="shared" si="0"/>
        <v>26666.666666666744</v>
      </c>
    </row>
    <row r="23" spans="1:5" x14ac:dyDescent="0.3">
      <c r="A23" s="30">
        <f>IF(9&lt;=$B$6,9,"")</f>
        <v>9</v>
      </c>
      <c r="B23" s="32">
        <f>IF(A23="","",EDATE($B$8,9))</f>
        <v>46583</v>
      </c>
      <c r="C23" s="25">
        <f t="shared" si="1"/>
        <v>6666.666666666667</v>
      </c>
      <c r="D23" s="25">
        <f t="shared" si="2"/>
        <v>199999.99999999991</v>
      </c>
      <c r="E23" s="25">
        <f t="shared" si="0"/>
        <v>20000.000000000087</v>
      </c>
    </row>
    <row r="24" spans="1:5" x14ac:dyDescent="0.3">
      <c r="A24" s="30">
        <f>IF(10&lt;=$B$6,10,"")</f>
        <v>10</v>
      </c>
      <c r="B24" s="32">
        <f>IF(A24="","",EDATE($B$8,10))</f>
        <v>46614</v>
      </c>
      <c r="C24" s="25">
        <f t="shared" si="1"/>
        <v>6666.666666666667</v>
      </c>
      <c r="D24" s="25">
        <f t="shared" si="2"/>
        <v>206666.66666666657</v>
      </c>
      <c r="E24" s="25">
        <f t="shared" si="0"/>
        <v>13333.33333333343</v>
      </c>
    </row>
    <row r="25" spans="1:5" x14ac:dyDescent="0.3">
      <c r="A25" s="30">
        <f>IF(11&lt;=$B$6,11,"")</f>
        <v>11</v>
      </c>
      <c r="B25" s="32">
        <f>IF(A25="","",EDATE($B$8,11))</f>
        <v>46645</v>
      </c>
      <c r="C25" s="25">
        <f t="shared" si="1"/>
        <v>6666.666666666667</v>
      </c>
      <c r="D25" s="25">
        <f t="shared" si="2"/>
        <v>213333.33333333323</v>
      </c>
      <c r="E25" s="25">
        <f t="shared" si="0"/>
        <v>6666.6666666667734</v>
      </c>
    </row>
    <row r="26" spans="1:5" x14ac:dyDescent="0.3">
      <c r="A26" s="30">
        <f>IF(12&lt;=$B$6,12,"")</f>
        <v>12</v>
      </c>
      <c r="B26" s="32">
        <f>IF(A26="","",EDATE($B$8,12))</f>
        <v>46675</v>
      </c>
      <c r="C26" s="25">
        <f t="shared" si="1"/>
        <v>6666.666666666667</v>
      </c>
      <c r="D26" s="25">
        <f t="shared" si="2"/>
        <v>219999.99999999988</v>
      </c>
      <c r="E26" s="25">
        <f t="shared" si="0"/>
        <v>1.1641532182693481E-10</v>
      </c>
    </row>
    <row r="27" spans="1:5" x14ac:dyDescent="0.3">
      <c r="A27" s="30" t="str">
        <f>IF(13&lt;=$B$6,13,"")</f>
        <v/>
      </c>
      <c r="B27" s="32" t="str">
        <f>IF(A27="","",EDATE($B$8,13))</f>
        <v/>
      </c>
      <c r="C27" s="25" t="str">
        <f t="shared" si="1"/>
        <v/>
      </c>
      <c r="D27" s="25" t="str">
        <f t="shared" si="2"/>
        <v/>
      </c>
      <c r="E27" s="25" t="str">
        <f t="shared" si="0"/>
        <v/>
      </c>
    </row>
    <row r="28" spans="1:5" x14ac:dyDescent="0.3">
      <c r="A28" s="30" t="str">
        <f>IF(14&lt;=$B$6,14,"")</f>
        <v/>
      </c>
      <c r="B28" s="32" t="str">
        <f>IF(A28="","",EDATE($B$8,14))</f>
        <v/>
      </c>
      <c r="C28" s="25" t="str">
        <f t="shared" si="1"/>
        <v/>
      </c>
      <c r="D28" s="25" t="str">
        <f t="shared" si="2"/>
        <v/>
      </c>
      <c r="E28" s="25" t="str">
        <f t="shared" si="0"/>
        <v/>
      </c>
    </row>
    <row r="29" spans="1:5" x14ac:dyDescent="0.3">
      <c r="A29" s="30" t="str">
        <f>IF(15&lt;=$B$6,15,"")</f>
        <v/>
      </c>
      <c r="B29" s="32" t="str">
        <f>IF(A29="","",EDATE($B$8,15))</f>
        <v/>
      </c>
      <c r="C29" s="25" t="str">
        <f t="shared" si="1"/>
        <v/>
      </c>
      <c r="D29" s="25" t="str">
        <f t="shared" si="2"/>
        <v/>
      </c>
      <c r="E29" s="25" t="str">
        <f t="shared" si="0"/>
        <v/>
      </c>
    </row>
    <row r="30" spans="1:5" x14ac:dyDescent="0.3">
      <c r="A30" s="30" t="str">
        <f>IF(16&lt;=$B$6,16,"")</f>
        <v/>
      </c>
      <c r="B30" s="32" t="str">
        <f>IF(A30="","",EDATE($B$8,16))</f>
        <v/>
      </c>
      <c r="C30" s="25" t="str">
        <f t="shared" si="1"/>
        <v/>
      </c>
      <c r="D30" s="25" t="str">
        <f t="shared" si="2"/>
        <v/>
      </c>
      <c r="E30" s="25" t="str">
        <f t="shared" si="0"/>
        <v/>
      </c>
    </row>
    <row r="31" spans="1:5" x14ac:dyDescent="0.3">
      <c r="A31" s="30" t="str">
        <f>IF(17&lt;=$B$6,17,"")</f>
        <v/>
      </c>
      <c r="B31" s="32" t="str">
        <f>IF(A31="","",EDATE($B$8,17))</f>
        <v/>
      </c>
      <c r="C31" s="25" t="str">
        <f t="shared" si="1"/>
        <v/>
      </c>
      <c r="D31" s="25" t="str">
        <f t="shared" si="2"/>
        <v/>
      </c>
      <c r="E31" s="25" t="str">
        <f t="shared" si="0"/>
        <v/>
      </c>
    </row>
    <row r="32" spans="1:5" x14ac:dyDescent="0.3">
      <c r="A32" s="30" t="str">
        <f>IF(18&lt;=$B$6,18,"")</f>
        <v/>
      </c>
      <c r="B32" s="32" t="str">
        <f>IF(A32="","",EDATE($B$8,18))</f>
        <v/>
      </c>
      <c r="C32" s="25" t="str">
        <f t="shared" si="1"/>
        <v/>
      </c>
      <c r="D32" s="25" t="str">
        <f t="shared" si="2"/>
        <v/>
      </c>
      <c r="E32" s="25" t="str">
        <f t="shared" si="0"/>
        <v/>
      </c>
    </row>
    <row r="33" spans="1:5" x14ac:dyDescent="0.3">
      <c r="A33" s="30" t="str">
        <f>IF(19&lt;=$B$6,19,"")</f>
        <v/>
      </c>
      <c r="B33" s="32" t="str">
        <f>IF(A33="","",EDATE($B$8,19))</f>
        <v/>
      </c>
      <c r="C33" s="25" t="str">
        <f t="shared" si="1"/>
        <v/>
      </c>
      <c r="D33" s="25" t="str">
        <f t="shared" si="2"/>
        <v/>
      </c>
      <c r="E33" s="25" t="str">
        <f t="shared" si="0"/>
        <v/>
      </c>
    </row>
    <row r="34" spans="1:5" x14ac:dyDescent="0.3">
      <c r="A34" s="30" t="str">
        <f>IF(20&lt;=$B$6,20,"")</f>
        <v/>
      </c>
      <c r="B34" s="32" t="str">
        <f>IF(A34="","",EDATE($B$8,20))</f>
        <v/>
      </c>
      <c r="C34" s="25" t="str">
        <f t="shared" si="1"/>
        <v/>
      </c>
      <c r="D34" s="25" t="str">
        <f t="shared" si="2"/>
        <v/>
      </c>
      <c r="E34" s="25" t="str">
        <f t="shared" si="0"/>
        <v/>
      </c>
    </row>
    <row r="35" spans="1:5" x14ac:dyDescent="0.3">
      <c r="A35" s="30" t="str">
        <f>IF(21&lt;=$B$6,21,"")</f>
        <v/>
      </c>
      <c r="B35" s="32" t="str">
        <f>IF(A35="","",EDATE($B$8,21))</f>
        <v/>
      </c>
      <c r="C35" s="25" t="str">
        <f t="shared" si="1"/>
        <v/>
      </c>
      <c r="D35" s="25" t="str">
        <f t="shared" si="2"/>
        <v/>
      </c>
      <c r="E35" s="25" t="str">
        <f t="shared" si="0"/>
        <v/>
      </c>
    </row>
    <row r="36" spans="1:5" x14ac:dyDescent="0.3">
      <c r="A36" s="30" t="str">
        <f>IF(22&lt;=$B$6,22,"")</f>
        <v/>
      </c>
      <c r="B36" s="32" t="str">
        <f>IF(A36="","",EDATE($B$8,22))</f>
        <v/>
      </c>
      <c r="C36" s="25" t="str">
        <f t="shared" si="1"/>
        <v/>
      </c>
      <c r="D36" s="25" t="str">
        <f t="shared" si="2"/>
        <v/>
      </c>
      <c r="E36" s="25" t="str">
        <f t="shared" si="0"/>
        <v/>
      </c>
    </row>
    <row r="37" spans="1:5" x14ac:dyDescent="0.3">
      <c r="A37" s="30" t="str">
        <f>IF(23&lt;=$B$6,23,"")</f>
        <v/>
      </c>
      <c r="B37" s="32" t="str">
        <f>IF(A37="","",EDATE($B$8,23))</f>
        <v/>
      </c>
      <c r="C37" s="25" t="str">
        <f t="shared" si="1"/>
        <v/>
      </c>
      <c r="D37" s="25" t="str">
        <f t="shared" si="2"/>
        <v/>
      </c>
      <c r="E37" s="25" t="str">
        <f t="shared" si="0"/>
        <v/>
      </c>
    </row>
    <row r="38" spans="1:5" x14ac:dyDescent="0.3">
      <c r="A38" s="30" t="str">
        <f>IF(24&lt;=$B$6,24,"")</f>
        <v/>
      </c>
      <c r="B38" s="32" t="str">
        <f>IF(A38="","",EDATE($B$8,24))</f>
        <v/>
      </c>
      <c r="C38" s="25" t="str">
        <f t="shared" si="1"/>
        <v/>
      </c>
      <c r="D38" s="25" t="str">
        <f t="shared" si="2"/>
        <v/>
      </c>
      <c r="E38" s="25" t="str">
        <f t="shared" si="0"/>
        <v/>
      </c>
    </row>
    <row r="39" spans="1:5" x14ac:dyDescent="0.3">
      <c r="A39" s="30" t="str">
        <f>IF(25&lt;=$B$6,25,"")</f>
        <v/>
      </c>
      <c r="B39" s="32" t="str">
        <f>IF(A39="","",EDATE($B$8,25))</f>
        <v/>
      </c>
      <c r="C39" s="25" t="str">
        <f t="shared" si="1"/>
        <v/>
      </c>
      <c r="D39" s="25" t="str">
        <f t="shared" si="2"/>
        <v/>
      </c>
      <c r="E39" s="25" t="str">
        <f t="shared" si="0"/>
        <v/>
      </c>
    </row>
    <row r="40" spans="1:5" x14ac:dyDescent="0.3">
      <c r="A40" s="30" t="str">
        <f>IF(26&lt;=$B$6,26,"")</f>
        <v/>
      </c>
      <c r="B40" s="32" t="str">
        <f>IF(A40="","",EDATE($B$8,26))</f>
        <v/>
      </c>
      <c r="C40" s="25" t="str">
        <f t="shared" si="1"/>
        <v/>
      </c>
      <c r="D40" s="25" t="str">
        <f t="shared" si="2"/>
        <v/>
      </c>
      <c r="E40" s="25" t="str">
        <f t="shared" si="0"/>
        <v/>
      </c>
    </row>
    <row r="41" spans="1:5" x14ac:dyDescent="0.3">
      <c r="A41" s="30" t="str">
        <f>IF(27&lt;=$B$6,27,"")</f>
        <v/>
      </c>
      <c r="B41" s="32" t="str">
        <f>IF(A41="","",EDATE($B$8,27))</f>
        <v/>
      </c>
      <c r="C41" s="25" t="str">
        <f t="shared" si="1"/>
        <v/>
      </c>
      <c r="D41" s="25" t="str">
        <f t="shared" si="2"/>
        <v/>
      </c>
      <c r="E41" s="25" t="str">
        <f t="shared" si="0"/>
        <v/>
      </c>
    </row>
    <row r="42" spans="1:5" x14ac:dyDescent="0.3">
      <c r="A42" s="30" t="str">
        <f>IF(28&lt;=$B$6,28,"")</f>
        <v/>
      </c>
      <c r="B42" s="32" t="str">
        <f>IF(A42="","",EDATE($B$8,28))</f>
        <v/>
      </c>
      <c r="C42" s="25" t="str">
        <f t="shared" si="1"/>
        <v/>
      </c>
      <c r="D42" s="25" t="str">
        <f t="shared" si="2"/>
        <v/>
      </c>
      <c r="E42" s="25" t="str">
        <f t="shared" si="0"/>
        <v/>
      </c>
    </row>
    <row r="43" spans="1:5" x14ac:dyDescent="0.3">
      <c r="A43" s="30" t="str">
        <f>IF(29&lt;=$B$6,29,"")</f>
        <v/>
      </c>
      <c r="B43" s="32" t="str">
        <f>IF(A43="","",EDATE($B$8,29))</f>
        <v/>
      </c>
      <c r="C43" s="25" t="str">
        <f t="shared" si="1"/>
        <v/>
      </c>
      <c r="D43" s="25" t="str">
        <f t="shared" si="2"/>
        <v/>
      </c>
      <c r="E43" s="25" t="str">
        <f t="shared" si="0"/>
        <v/>
      </c>
    </row>
    <row r="44" spans="1:5" x14ac:dyDescent="0.3">
      <c r="A44" s="30" t="str">
        <f>IF(30&lt;=$B$6,30,"")</f>
        <v/>
      </c>
      <c r="B44" s="32" t="str">
        <f>IF(A44="","",EDATE($B$8,30))</f>
        <v/>
      </c>
      <c r="C44" s="25" t="str">
        <f t="shared" si="1"/>
        <v/>
      </c>
      <c r="D44" s="25" t="str">
        <f t="shared" si="2"/>
        <v/>
      </c>
      <c r="E44" s="25" t="str">
        <f t="shared" si="0"/>
        <v/>
      </c>
    </row>
    <row r="45" spans="1:5" x14ac:dyDescent="0.3">
      <c r="A45" s="30" t="str">
        <f>IF(31&lt;=$B$6,31,"")</f>
        <v/>
      </c>
      <c r="B45" s="32" t="str">
        <f>IF(A45="","",EDATE($B$8,31))</f>
        <v/>
      </c>
      <c r="C45" s="25" t="str">
        <f t="shared" si="1"/>
        <v/>
      </c>
      <c r="D45" s="25" t="str">
        <f t="shared" si="2"/>
        <v/>
      </c>
      <c r="E45" s="25" t="str">
        <f t="shared" si="0"/>
        <v/>
      </c>
    </row>
    <row r="46" spans="1:5" x14ac:dyDescent="0.3">
      <c r="A46" s="30" t="str">
        <f>IF(32&lt;=$B$6,32,"")</f>
        <v/>
      </c>
      <c r="B46" s="32" t="str">
        <f>IF(A46="","",EDATE($B$8,32))</f>
        <v/>
      </c>
      <c r="C46" s="25" t="str">
        <f t="shared" si="1"/>
        <v/>
      </c>
      <c r="D46" s="25" t="str">
        <f t="shared" si="2"/>
        <v/>
      </c>
      <c r="E46" s="25" t="str">
        <f t="shared" si="0"/>
        <v/>
      </c>
    </row>
    <row r="47" spans="1:5" x14ac:dyDescent="0.3">
      <c r="A47" s="30" t="str">
        <f>IF(33&lt;=$B$6,33,"")</f>
        <v/>
      </c>
      <c r="B47" s="32" t="str">
        <f>IF(A47="","",EDATE($B$8,33))</f>
        <v/>
      </c>
      <c r="C47" s="25" t="str">
        <f t="shared" si="1"/>
        <v/>
      </c>
      <c r="D47" s="25" t="str">
        <f t="shared" si="2"/>
        <v/>
      </c>
      <c r="E47" s="25" t="str">
        <f t="shared" si="0"/>
        <v/>
      </c>
    </row>
    <row r="48" spans="1:5" x14ac:dyDescent="0.3">
      <c r="A48" s="30" t="str">
        <f>IF(34&lt;=$B$6,34,"")</f>
        <v/>
      </c>
      <c r="B48" s="32" t="str">
        <f>IF(A48="","",EDATE($B$8,34))</f>
        <v/>
      </c>
      <c r="C48" s="25" t="str">
        <f t="shared" si="1"/>
        <v/>
      </c>
      <c r="D48" s="25" t="str">
        <f t="shared" si="2"/>
        <v/>
      </c>
      <c r="E48" s="25" t="str">
        <f t="shared" si="0"/>
        <v/>
      </c>
    </row>
    <row r="49" spans="1:5" x14ac:dyDescent="0.3">
      <c r="A49" s="30" t="str">
        <f>IF(35&lt;=$B$6,35,"")</f>
        <v/>
      </c>
      <c r="B49" s="32" t="str">
        <f>IF(A49="","",EDATE($B$8,35))</f>
        <v/>
      </c>
      <c r="C49" s="25" t="str">
        <f t="shared" si="1"/>
        <v/>
      </c>
      <c r="D49" s="25" t="str">
        <f t="shared" si="2"/>
        <v/>
      </c>
      <c r="E49" s="25" t="str">
        <f t="shared" si="0"/>
        <v/>
      </c>
    </row>
    <row r="50" spans="1:5" x14ac:dyDescent="0.3">
      <c r="A50" s="30" t="str">
        <f>IF(36&lt;=$B$6,36,"")</f>
        <v/>
      </c>
      <c r="B50" s="32" t="str">
        <f>IF(A50="","",EDATE($B$8,36))</f>
        <v/>
      </c>
      <c r="C50" s="25" t="str">
        <f t="shared" si="1"/>
        <v/>
      </c>
      <c r="D50" s="25" t="str">
        <f t="shared" si="2"/>
        <v/>
      </c>
      <c r="E50" s="25" t="str">
        <f t="shared" si="0"/>
        <v/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6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8.6640625" defaultRowHeight="14.4" x14ac:dyDescent="0.3"/>
  <cols>
    <col min="1" max="1" width="7" customWidth="1"/>
    <col min="2" max="2" width="12" customWidth="1"/>
    <col min="3" max="3" width="7" customWidth="1"/>
    <col min="4" max="24" width="15" customWidth="1"/>
  </cols>
  <sheetData>
    <row r="1" spans="1:24" ht="19.2" x14ac:dyDescent="0.35">
      <c r="A1" s="4" t="s">
        <v>122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x14ac:dyDescent="0.3">
      <c r="A2" s="6" t="s">
        <v>123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x14ac:dyDescent="0.3">
      <c r="A4" s="3" t="s">
        <v>124</v>
      </c>
      <c r="B4" s="3"/>
      <c r="C4" s="3"/>
      <c r="D4" s="3"/>
      <c r="E4" s="3"/>
      <c r="F4" s="3"/>
      <c r="G4" s="3"/>
      <c r="H4" s="3"/>
      <c r="I4" s="3"/>
      <c r="J4" s="2" t="s">
        <v>125</v>
      </c>
      <c r="K4" s="2"/>
      <c r="L4" s="2"/>
      <c r="M4" s="2"/>
      <c r="N4" s="2"/>
      <c r="O4" s="3" t="s">
        <v>126</v>
      </c>
      <c r="P4" s="3"/>
      <c r="Q4" s="3"/>
      <c r="R4" s="3"/>
      <c r="S4" s="3"/>
      <c r="T4" s="1" t="s">
        <v>127</v>
      </c>
      <c r="U4" s="1"/>
      <c r="V4" s="1"/>
      <c r="W4" s="1"/>
      <c r="X4" s="1"/>
    </row>
    <row r="5" spans="1:24" ht="42" customHeight="1" x14ac:dyDescent="0.3">
      <c r="A5" s="12" t="s">
        <v>128</v>
      </c>
      <c r="B5" s="12" t="s">
        <v>129</v>
      </c>
      <c r="C5" s="12" t="s">
        <v>130</v>
      </c>
      <c r="D5" s="12" t="s">
        <v>131</v>
      </c>
      <c r="E5" s="12" t="s">
        <v>132</v>
      </c>
      <c r="F5" s="12" t="s">
        <v>133</v>
      </c>
      <c r="G5" s="12" t="s">
        <v>134</v>
      </c>
      <c r="H5" s="12" t="s">
        <v>135</v>
      </c>
      <c r="I5" s="12" t="s">
        <v>136</v>
      </c>
      <c r="J5" s="12" t="s">
        <v>137</v>
      </c>
      <c r="K5" s="12" t="s">
        <v>138</v>
      </c>
      <c r="L5" s="12" t="s">
        <v>139</v>
      </c>
      <c r="M5" s="12" t="s">
        <v>11</v>
      </c>
      <c r="N5" s="12" t="s">
        <v>140</v>
      </c>
      <c r="O5" s="12" t="s">
        <v>137</v>
      </c>
      <c r="P5" s="12" t="s">
        <v>138</v>
      </c>
      <c r="Q5" s="12" t="s">
        <v>139</v>
      </c>
      <c r="R5" s="12" t="s">
        <v>11</v>
      </c>
      <c r="S5" s="12" t="s">
        <v>140</v>
      </c>
      <c r="T5" s="12" t="s">
        <v>137</v>
      </c>
      <c r="U5" s="12" t="s">
        <v>138</v>
      </c>
      <c r="V5" s="12" t="s">
        <v>139</v>
      </c>
      <c r="W5" s="12" t="s">
        <v>11</v>
      </c>
      <c r="X5" s="12" t="s">
        <v>140</v>
      </c>
    </row>
    <row r="6" spans="1:24" x14ac:dyDescent="0.3">
      <c r="A6" s="30">
        <v>0</v>
      </c>
      <c r="B6" s="30">
        <f>Eingaben!$B$8+A6</f>
        <v>2026</v>
      </c>
      <c r="C6" s="30">
        <f>Eingaben!$B$9+A6</f>
        <v>20</v>
      </c>
      <c r="D6" s="25">
        <f>Eingaben!$B$10</f>
        <v>30000</v>
      </c>
      <c r="E6" s="25" cm="1">
        <f t="array" ref="E6">SUMPRODUCT(('Leiter 3 und 5 Jahre'!$E$9:$E$13&gt;A6)*'Leiter 3 und 5 Jahre'!$O$9:$O$13)*(1+Eingaben!$C$21)^A6</f>
        <v>500000</v>
      </c>
      <c r="F6" s="25" cm="1">
        <f t="array" ref="F6">SUMPRODUCT(('Leiter 3 und 5 Jahre'!$E$9:$E$13=A6)*'Leiter 3 und 5 Jahre'!$P$9:$P$13)</f>
        <v>0</v>
      </c>
      <c r="G6" s="25">
        <f>F6*Eingaben!$B$26</f>
        <v>0</v>
      </c>
      <c r="H6" s="25">
        <f>F6-G6</f>
        <v>0</v>
      </c>
      <c r="I6" s="25">
        <f>IF(AND(A6&gt;0,A6&gt;=Eingaben!$B$28,A6&lt;=Eingaben!$C$28),Eingaben!$B$27*12,0)</f>
        <v>0</v>
      </c>
      <c r="J6" s="25">
        <f>Eingaben!$B$12-I6+G6</f>
        <v>220000</v>
      </c>
      <c r="K6" s="25">
        <f>J6</f>
        <v>220000</v>
      </c>
      <c r="L6" s="25">
        <f>Eingaben!$B$31*MAX(0,J6*(1+Eingaben!$B$22)^A6-K6)/(1+Eingaben!$B$22)^A6</f>
        <v>0</v>
      </c>
      <c r="M6" s="13">
        <f>D6+E6+J6</f>
        <v>750000</v>
      </c>
      <c r="N6" s="25">
        <f>M6-L6</f>
        <v>750000</v>
      </c>
      <c r="O6" s="25">
        <f>Eingaben!$B$12-I6+G6</f>
        <v>220000</v>
      </c>
      <c r="P6" s="25">
        <f>O6</f>
        <v>220000</v>
      </c>
      <c r="Q6" s="25">
        <f>Eingaben!$B$31*MAX(0,O6*(1+Eingaben!$B$22)^A6-P6)/(1+Eingaben!$B$22)^A6</f>
        <v>0</v>
      </c>
      <c r="R6" s="13">
        <f>D6+E6+O6</f>
        <v>750000</v>
      </c>
      <c r="S6" s="25">
        <f>R6-Q6</f>
        <v>750000</v>
      </c>
      <c r="T6" s="25">
        <f>Eingaben!$B$12-I6+G6</f>
        <v>220000</v>
      </c>
      <c r="U6" s="25">
        <f>T6</f>
        <v>220000</v>
      </c>
      <c r="V6" s="25">
        <f>Eingaben!$B$31*MAX(0,T6*(1+Eingaben!$B$22)^A6-U6)/(1+Eingaben!$B$22)^A6</f>
        <v>0</v>
      </c>
      <c r="W6" s="13">
        <f>D6+E6+T6</f>
        <v>750000</v>
      </c>
      <c r="X6" s="25">
        <f>W6-V6</f>
        <v>750000</v>
      </c>
    </row>
    <row r="7" spans="1:24" x14ac:dyDescent="0.3">
      <c r="A7" s="30">
        <v>1</v>
      </c>
      <c r="B7" s="30">
        <f>Eingaben!$B$8+A7</f>
        <v>2027</v>
      </c>
      <c r="C7" s="30">
        <f>Eingaben!$B$9+A7</f>
        <v>21</v>
      </c>
      <c r="D7" s="25">
        <f>D6*(1+Eingaben!$C$20)</f>
        <v>30000</v>
      </c>
      <c r="E7" s="25" cm="1">
        <f t="array" ref="E7">SUMPRODUCT(('Leiter 3 und 5 Jahre'!$E$9:$E$13&gt;A7)*'Leiter 3 und 5 Jahre'!$O$9:$O$13)*(1+Eingaben!$C$21)^A7</f>
        <v>401999.99999999994</v>
      </c>
      <c r="F7" s="25" cm="1">
        <f t="array" ref="F7">SUMPRODUCT(('Leiter 3 und 5 Jahre'!$E$9:$E$13=A7)*'Leiter 3 und 5 Jahre'!$P$9:$P$13)</f>
        <v>100499.99999999999</v>
      </c>
      <c r="G7" s="25">
        <f>F7*Eingaben!$B$26</f>
        <v>100499.99999999999</v>
      </c>
      <c r="H7" s="25">
        <f>F7-G7</f>
        <v>0</v>
      </c>
      <c r="I7" s="25">
        <f>IF(AND(A7&gt;0,A7&gt;=Eingaben!$B$28,A7&lt;=Eingaben!$C$28),Eingaben!$B$27*12,0)</f>
        <v>0</v>
      </c>
      <c r="J7" s="25">
        <f>MAX(0,(J6*(1+Eingaben!$C$17)+G7)-I7)</f>
        <v>327100</v>
      </c>
      <c r="K7" s="25">
        <f>IF((J6*(1+Eingaben!$C$17)+G7)&gt;0,(K6+G7*(1+Eingaben!$B$22)^A7)*J7/(J6*(1+Eingaben!$C$17)+G7),0)</f>
        <v>323515</v>
      </c>
      <c r="L7" s="25">
        <f>Eingaben!$B$31*MAX(0,J7*(1+Eingaben!$B$22)^A7-K7)/(1+Eingaben!$B$22)^A7</f>
        <v>3382.019417475728</v>
      </c>
      <c r="M7" s="13">
        <f>D7+E7+J7</f>
        <v>759100</v>
      </c>
      <c r="N7" s="25">
        <f>M7-L7</f>
        <v>755717.98058252432</v>
      </c>
      <c r="O7" s="25">
        <f>MAX(0,(O6*(1+Eingaben!$C$18)+G7)-I7)</f>
        <v>331500</v>
      </c>
      <c r="P7" s="25">
        <f>IF((O6*(1+Eingaben!$C$18)+G7)&gt;0,(P6+G7*(1+Eingaben!$B$22)^A7)*O7/(O6*(1+Eingaben!$C$18)+G7),0)</f>
        <v>323515</v>
      </c>
      <c r="Q7" s="25">
        <f>Eingaben!$B$31*MAX(0,O7*(1+Eingaben!$B$22)^A7-P7)/(1+Eingaben!$B$22)^A7</f>
        <v>4526.019417475728</v>
      </c>
      <c r="R7" s="13">
        <f>D7+E7+O7</f>
        <v>763500</v>
      </c>
      <c r="S7" s="25">
        <f>R7-Q7</f>
        <v>758973.98058252432</v>
      </c>
      <c r="T7" s="25">
        <f>MAX(0,(T6*(1+Eingaben!$C$19)+G7)-I7)</f>
        <v>335900</v>
      </c>
      <c r="U7" s="25">
        <f>IF((T6*(1+Eingaben!$C$19)+G7)&gt;0,(U6+G7*(1+Eingaben!$B$22)^A7)*T7/(T6*(1+Eingaben!$C$19)+G7),0)</f>
        <v>323515</v>
      </c>
      <c r="V7" s="25">
        <f>Eingaben!$B$31*MAX(0,T7*(1+Eingaben!$B$22)^A7-U7)/(1+Eingaben!$B$22)^A7</f>
        <v>5670.019417475728</v>
      </c>
      <c r="W7" s="13">
        <f>D7+E7+T7</f>
        <v>767900</v>
      </c>
      <c r="X7" s="25">
        <f>W7-V7</f>
        <v>762229.98058252432</v>
      </c>
    </row>
    <row r="8" spans="1:24" x14ac:dyDescent="0.3">
      <c r="A8" s="30">
        <v>2</v>
      </c>
      <c r="B8" s="30">
        <f>Eingaben!$B$8+A8</f>
        <v>2028</v>
      </c>
      <c r="C8" s="30">
        <f>Eingaben!$B$9+A8</f>
        <v>22</v>
      </c>
      <c r="D8" s="25">
        <f>D7*(1+Eingaben!$C$20)</f>
        <v>30000</v>
      </c>
      <c r="E8" s="25" cm="1">
        <f t="array" ref="E8">SUMPRODUCT(('Leiter 3 und 5 Jahre'!$E$9:$E$13&gt;A8)*'Leiter 3 und 5 Jahre'!$O$9:$O$13)*(1+Eingaben!$C$21)^A8</f>
        <v>303007.49999999994</v>
      </c>
      <c r="F8" s="25" cm="1">
        <f t="array" ref="F8">SUMPRODUCT(('Leiter 3 und 5 Jahre'!$E$9:$E$13=A8)*'Leiter 3 und 5 Jahre'!$P$9:$P$13)</f>
        <v>101002.49999999997</v>
      </c>
      <c r="G8" s="25">
        <f>F8*Eingaben!$B$26</f>
        <v>101002.49999999997</v>
      </c>
      <c r="H8" s="25">
        <f>F8-G8</f>
        <v>0</v>
      </c>
      <c r="I8" s="25">
        <f>IF(AND(A8&gt;0,A8&gt;=Eingaben!$B$28,A8&lt;=Eingaben!$C$28),Eingaben!$B$27*12,0)</f>
        <v>0</v>
      </c>
      <c r="J8" s="25">
        <f>MAX(0,(J7*(1+Eingaben!$C$17)+G8)-I8)</f>
        <v>437915.5</v>
      </c>
      <c r="K8" s="25">
        <f>IF((J7*(1+Eingaben!$C$17)+G8)&gt;0,(K7+G8*(1+Eingaben!$B$22)^A8)*J8/(J7*(1+Eingaben!$C$17)+G8),0)</f>
        <v>430668.55224999989</v>
      </c>
      <c r="L8" s="25">
        <f>Eingaben!$B$31*MAX(0,J8*(1+Eingaben!$B$22)^A8-K8)/(1+Eingaben!$B$22)^A8</f>
        <v>8311.9619587143206</v>
      </c>
      <c r="M8" s="13">
        <f>D8+E8+J8</f>
        <v>770923</v>
      </c>
      <c r="N8" s="25">
        <f>M8-L8</f>
        <v>762611.0380412857</v>
      </c>
      <c r="O8" s="25">
        <f>MAX(0,(O7*(1+Eingaben!$C$18)+G8)-I8)</f>
        <v>449077.5</v>
      </c>
      <c r="P8" s="25">
        <f>IF((O7*(1+Eingaben!$C$18)+G8)&gt;0,(P7+G8*(1+Eingaben!$B$22)^A8)*O8/(O7*(1+Eingaben!$C$18)+G8),0)</f>
        <v>430668.55224999995</v>
      </c>
      <c r="Q8" s="25">
        <f>Eingaben!$B$31*MAX(0,O8*(1+Eingaben!$B$22)^A8-P8)/(1+Eingaben!$B$22)^A8</f>
        <v>11214.081958714303</v>
      </c>
      <c r="R8" s="13">
        <f>D8+E8+O8</f>
        <v>782085</v>
      </c>
      <c r="S8" s="25">
        <f>R8-Q8</f>
        <v>770870.91804128571</v>
      </c>
      <c r="T8" s="25">
        <f>MAX(0,(T7*(1+Eingaben!$C$19)+G8)-I8)</f>
        <v>460415.5</v>
      </c>
      <c r="U8" s="25">
        <f>IF((T7*(1+Eingaben!$C$19)+G8)&gt;0,(U7+G8*(1+Eingaben!$B$22)^A8)*T8/(T7*(1+Eingaben!$C$19)+G8),0)</f>
        <v>430668.55224999995</v>
      </c>
      <c r="V8" s="25">
        <f>Eingaben!$B$31*MAX(0,T8*(1+Eingaben!$B$22)^A8-U8)/(1+Eingaben!$B$22)^A8</f>
        <v>14161.961958714306</v>
      </c>
      <c r="W8" s="13">
        <f>D8+E8+T8</f>
        <v>793423</v>
      </c>
      <c r="X8" s="25">
        <f>W8-V8</f>
        <v>779261.0380412857</v>
      </c>
    </row>
    <row r="9" spans="1:24" x14ac:dyDescent="0.3">
      <c r="A9" s="30">
        <v>3</v>
      </c>
      <c r="B9" s="30">
        <f>Eingaben!$B$8+A9</f>
        <v>2029</v>
      </c>
      <c r="C9" s="30">
        <f>Eingaben!$B$9+A9</f>
        <v>23</v>
      </c>
      <c r="D9" s="25">
        <f>D8*(1+Eingaben!$C$20)</f>
        <v>30000</v>
      </c>
      <c r="E9" s="25" cm="1">
        <f t="array" ref="E9">SUMPRODUCT(('Leiter 3 und 5 Jahre'!$E$9:$E$13&gt;A9)*'Leiter 3 und 5 Jahre'!$O$9:$O$13)*(1+Eingaben!$C$21)^A9</f>
        <v>203015.02499999994</v>
      </c>
      <c r="F9" s="25" cm="1">
        <f t="array" ref="F9">SUMPRODUCT(('Leiter 3 und 5 Jahre'!$E$9:$E$13=A9)*'Leiter 3 und 5 Jahre'!$P$9:$P$13)</f>
        <v>101507.51249999997</v>
      </c>
      <c r="G9" s="25">
        <f>F9*Eingaben!$B$26</f>
        <v>101507.51249999997</v>
      </c>
      <c r="H9" s="25">
        <f>F9-G9</f>
        <v>0</v>
      </c>
      <c r="I9" s="25">
        <f>IF(AND(A9&gt;0,A9&gt;=Eingaben!$B$28,A9&lt;=Eingaben!$C$28),Eingaben!$B$27*12,0)</f>
        <v>0</v>
      </c>
      <c r="J9" s="25">
        <f>MAX(0,(J8*(1+Eingaben!$C$17)+G9)-I9)</f>
        <v>552560.47750000004</v>
      </c>
      <c r="K9" s="25">
        <f>IF((J8*(1+Eingaben!$C$17)+G9)&gt;0,(K8+G9*(1+Eingaben!$B$22)^A9)*J9/(J8*(1+Eingaben!$C$17)+G9),0)</f>
        <v>541588.55186158733</v>
      </c>
      <c r="L9" s="25">
        <f>Eingaben!$B$31*MAX(0,J9*(1+Eingaben!$B$22)^A9-K9)/(1+Eingaben!$B$22)^A9</f>
        <v>14801.860180305197</v>
      </c>
      <c r="M9" s="13">
        <f>D9+E9+J9</f>
        <v>785575.50249999994</v>
      </c>
      <c r="N9" s="25">
        <f>M9-L9</f>
        <v>770773.64231969474</v>
      </c>
      <c r="O9" s="25">
        <f>MAX(0,(O8*(1+Eingaben!$C$18)+G9)-I9)</f>
        <v>573038.88749999995</v>
      </c>
      <c r="P9" s="25">
        <f>IF((O8*(1+Eingaben!$C$18)+G9)&gt;0,(P8+G9*(1+Eingaben!$B$22)^A9)*O9/(O8*(1+Eingaben!$C$18)+G9),0)</f>
        <v>541588.55186158745</v>
      </c>
      <c r="Q9" s="25">
        <f>Eingaben!$B$31*MAX(0,O9*(1+Eingaben!$B$22)^A9-P9)/(1+Eingaben!$B$22)^A9</f>
        <v>20126.246780305137</v>
      </c>
      <c r="R9" s="13">
        <f>D9+E9+O9</f>
        <v>806053.91249999986</v>
      </c>
      <c r="S9" s="25">
        <f>R9-Q9</f>
        <v>785927.66571969469</v>
      </c>
      <c r="T9" s="25">
        <f>MAX(0,(T8*(1+Eingaben!$C$19)+G9)-I9)</f>
        <v>594152.09750000003</v>
      </c>
      <c r="U9" s="25">
        <f>IF((T8*(1+Eingaben!$C$19)+G9)&gt;0,(U8+G9*(1+Eingaben!$B$22)^A9)*T9/(T8*(1+Eingaben!$C$19)+G9),0)</f>
        <v>541588.55186158745</v>
      </c>
      <c r="V9" s="25">
        <f>Eingaben!$B$31*MAX(0,T9*(1+Eingaben!$B$22)^A9-U9)/(1+Eingaben!$B$22)^A9</f>
        <v>25615.681380305163</v>
      </c>
      <c r="W9" s="13">
        <f>D9+E9+T9</f>
        <v>827167.12249999994</v>
      </c>
      <c r="X9" s="25">
        <f>W9-V9</f>
        <v>801551.44111969473</v>
      </c>
    </row>
    <row r="10" spans="1:24" x14ac:dyDescent="0.3">
      <c r="A10" s="30">
        <v>4</v>
      </c>
      <c r="B10" s="30">
        <f>Eingaben!$B$8+A10</f>
        <v>2030</v>
      </c>
      <c r="C10" s="30">
        <f>Eingaben!$B$9+A10</f>
        <v>24</v>
      </c>
      <c r="D10" s="25">
        <f>D9*(1+Eingaben!$C$20)</f>
        <v>30000</v>
      </c>
      <c r="E10" s="25" cm="1">
        <f t="array" ref="E10">SUMPRODUCT(('Leiter 3 und 5 Jahre'!$E$9:$E$13&gt;A10)*'Leiter 3 und 5 Jahre'!$O$9:$O$13)*(1+Eingaben!$C$21)^A10</f>
        <v>102015.05006249994</v>
      </c>
      <c r="F10" s="25" cm="1">
        <f t="array" ref="F10">SUMPRODUCT(('Leiter 3 und 5 Jahre'!$E$9:$E$13=A10)*'Leiter 3 und 5 Jahre'!$P$9:$P$13)</f>
        <v>102015.05006249994</v>
      </c>
      <c r="G10" s="25">
        <f>F10*Eingaben!$B$26</f>
        <v>102015.05006249994</v>
      </c>
      <c r="H10" s="25">
        <f>F10-G10</f>
        <v>0</v>
      </c>
      <c r="I10" s="25">
        <f>IF(AND(A10&gt;0,A10&gt;=Eingaben!$B$28,A10&lt;=Eingaben!$C$28),Eingaben!$B$27*12,0)</f>
        <v>0</v>
      </c>
      <c r="J10" s="25">
        <f>MAX(0,(J9*(1+Eingaben!$C$17)+G10)-I10)</f>
        <v>671152.34188750002</v>
      </c>
      <c r="K10" s="25">
        <f>IF((J9*(1+Eingaben!$C$17)+G10)&gt;0,(K9+G10*(1+Eingaben!$B$22)^A10)*J10/(J9*(1+Eingaben!$C$17)+G10),0)</f>
        <v>656407.38945952209</v>
      </c>
      <c r="L10" s="25">
        <f>Eingaben!$B$31*MAX(0,J10*(1+Eingaben!$B$22)^A10-K10)/(1+Eingaben!$B$22)^A10</f>
        <v>22865.148331106971</v>
      </c>
      <c r="M10" s="13">
        <f>D10+E10+J10</f>
        <v>803167.39194999996</v>
      </c>
      <c r="N10" s="25">
        <f>M10-L10</f>
        <v>780302.24361889297</v>
      </c>
      <c r="O10" s="25">
        <f>MAX(0,(O9*(1+Eingaben!$C$18)+G10)-I10)</f>
        <v>703705.88193749997</v>
      </c>
      <c r="P10" s="25">
        <f>IF((O9*(1+Eingaben!$C$18)+G10)&gt;0,(P9+G10*(1+Eingaben!$B$22)^A10)*O10/(O9*(1+Eingaben!$C$18)+G10),0)</f>
        <v>656407.38945952221</v>
      </c>
      <c r="Q10" s="25">
        <f>Eingaben!$B$31*MAX(0,O10*(1+Eingaben!$B$22)^A10-P10)/(1+Eingaben!$B$22)^A10</f>
        <v>31329.068744106946</v>
      </c>
      <c r="R10" s="13">
        <f>D10+E10+O10</f>
        <v>835720.93199999991</v>
      </c>
      <c r="S10" s="25">
        <f>R10-Q10</f>
        <v>804391.863255893</v>
      </c>
      <c r="T10" s="25">
        <f>MAX(0,(T9*(1+Eingaben!$C$19)+G10)-I10)</f>
        <v>737757.79438750003</v>
      </c>
      <c r="U10" s="25">
        <f>IF((T9*(1+Eingaben!$C$19)+G10)&gt;0,(U9+G10*(1+Eingaben!$B$22)^A10)*T10/(T9*(1+Eingaben!$C$19)+G10),0)</f>
        <v>656407.38945952221</v>
      </c>
      <c r="V10" s="25">
        <f>Eingaben!$B$31*MAX(0,T10*(1+Eingaben!$B$22)^A10-U10)/(1+Eingaben!$B$22)^A10</f>
        <v>40182.565981106956</v>
      </c>
      <c r="W10" s="13">
        <f>D10+E10+T10</f>
        <v>869772.84444999998</v>
      </c>
      <c r="X10" s="25">
        <f>W10-V10</f>
        <v>829590.27846889303</v>
      </c>
    </row>
    <row r="11" spans="1:24" x14ac:dyDescent="0.3">
      <c r="A11" s="30">
        <v>5</v>
      </c>
      <c r="B11" s="30">
        <f>Eingaben!$B$8+A11</f>
        <v>2031</v>
      </c>
      <c r="C11" s="30">
        <f>Eingaben!$B$9+A11</f>
        <v>25</v>
      </c>
      <c r="D11" s="25">
        <f>D10*(1+Eingaben!$C$20)</f>
        <v>30000</v>
      </c>
      <c r="E11" s="25" cm="1">
        <f t="array" ref="E11">SUMPRODUCT(('Leiter 3 und 5 Jahre'!$E$9:$E$13&gt;A11)*'Leiter 3 und 5 Jahre'!$O$9:$O$13)*(1+Eingaben!$C$21)^A11</f>
        <v>0</v>
      </c>
      <c r="F11" s="25" cm="1">
        <f t="array" ref="F11">SUMPRODUCT(('Leiter 3 und 5 Jahre'!$E$9:$E$13=A11)*'Leiter 3 und 5 Jahre'!$P$9:$P$13)</f>
        <v>102525.12531281241</v>
      </c>
      <c r="G11" s="25">
        <f>F11*Eingaben!$B$26</f>
        <v>102525.12531281241</v>
      </c>
      <c r="H11" s="25">
        <f>F11-G11</f>
        <v>0</v>
      </c>
      <c r="I11" s="25">
        <f>IF(AND(A11&gt;0,A11&gt;=Eingaben!$B$28,A11&lt;=Eingaben!$C$28),Eingaben!$B$27*12,0)</f>
        <v>0</v>
      </c>
      <c r="J11" s="25">
        <f>MAX(0,(J10*(1+Eingaben!$C$17)+G11)-I11)</f>
        <v>793812.03745693748</v>
      </c>
      <c r="K11" s="25">
        <f>IF((J10*(1+Eingaben!$C$17)+G11)&gt;0,(K10+G11*(1+Eingaben!$B$22)^A11)*J11/(J10*(1+Eingaben!$C$17)+G11),0)</f>
        <v>775262.10919902404</v>
      </c>
      <c r="L11" s="25">
        <f>Eingaben!$B$31*MAX(0,J11*(1+Eingaben!$B$22)^A11-K11)/(1+Eingaben!$B$22)^A11</f>
        <v>32516.674284032702</v>
      </c>
      <c r="M11" s="13">
        <f>D11+E11+J11</f>
        <v>823812.03745693748</v>
      </c>
      <c r="N11" s="25">
        <f>M11-L11</f>
        <v>791295.36317290482</v>
      </c>
      <c r="O11" s="25">
        <f>MAX(0,(O10*(1+Eingaben!$C$18)+G11)-I11)</f>
        <v>841416.30134718737</v>
      </c>
      <c r="P11" s="25">
        <f>IF((O10*(1+Eingaben!$C$18)+G11)&gt;0,(P10+G11*(1+Eingaben!$B$22)^A11)*O11/(O10*(1+Eingaben!$C$18)+G11),0)</f>
        <v>775262.10919902427</v>
      </c>
      <c r="Q11" s="25">
        <f>Eingaben!$B$31*MAX(0,O11*(1+Eingaben!$B$22)^A11-P11)/(1+Eingaben!$B$22)^A11</f>
        <v>44893.782895497636</v>
      </c>
      <c r="R11" s="13">
        <f>D11+E11+O11</f>
        <v>871416.30134718737</v>
      </c>
      <c r="S11" s="25">
        <f>R11-Q11</f>
        <v>826522.51845168974</v>
      </c>
      <c r="T11" s="25">
        <f>MAX(0,(T10*(1+Eingaben!$C$19)+G11)-I11)</f>
        <v>891925.96530743747</v>
      </c>
      <c r="U11" s="25">
        <f>IF((T10*(1+Eingaben!$C$19)+G11)&gt;0,(U10+G11*(1+Eingaben!$B$22)^A11)*T11/(T10*(1+Eingaben!$C$19)+G11),0)</f>
        <v>775262.10919902427</v>
      </c>
      <c r="V11" s="25">
        <f>Eingaben!$B$31*MAX(0,T11*(1+Eingaben!$B$22)^A11-U11)/(1+Eingaben!$B$22)^A11</f>
        <v>58026.295525162663</v>
      </c>
      <c r="W11" s="13">
        <f>D11+E11+T11</f>
        <v>921925.96530743747</v>
      </c>
      <c r="X11" s="25">
        <f>W11-V11</f>
        <v>863899.66978227475</v>
      </c>
    </row>
    <row r="12" spans="1:24" x14ac:dyDescent="0.3">
      <c r="A12" s="30">
        <v>6</v>
      </c>
      <c r="B12" s="30">
        <f>Eingaben!$B$8+A12</f>
        <v>2032</v>
      </c>
      <c r="C12" s="30">
        <f>Eingaben!$B$9+A12</f>
        <v>26</v>
      </c>
      <c r="D12" s="25">
        <f>D11*(1+Eingaben!$C$20)</f>
        <v>30000</v>
      </c>
      <c r="E12" s="25" cm="1">
        <f t="array" ref="E12">SUMPRODUCT(('Leiter 3 und 5 Jahre'!$E$9:$E$13&gt;A12)*'Leiter 3 und 5 Jahre'!$O$9:$O$13)*(1+Eingaben!$C$21)^A12</f>
        <v>0</v>
      </c>
      <c r="F12" s="25" cm="1">
        <f t="array" ref="F12">SUMPRODUCT(('Leiter 3 und 5 Jahre'!$E$9:$E$13=A12)*'Leiter 3 und 5 Jahre'!$P$9:$P$13)</f>
        <v>0</v>
      </c>
      <c r="G12" s="25">
        <f>F12*Eingaben!$B$26</f>
        <v>0</v>
      </c>
      <c r="H12" s="25">
        <f>F12-G12</f>
        <v>0</v>
      </c>
      <c r="I12" s="25">
        <f>IF(AND(A12&gt;0,A12&gt;=Eingaben!$B$28,A12&lt;=Eingaben!$C$28),Eingaben!$B$27*12,0)</f>
        <v>0</v>
      </c>
      <c r="J12" s="25">
        <f>MAX(0,(J11*(1+Eingaben!$C$17)+G12)-I12)</f>
        <v>817626.39858064568</v>
      </c>
      <c r="K12" s="25">
        <f>IF((J11*(1+Eingaben!$C$17)+G12)&gt;0,(K11+G12*(1+Eingaben!$B$22)^A12)*J12/(J11*(1+Eingaben!$C$17)+G12),0)</f>
        <v>775262.10919902392</v>
      </c>
      <c r="L12" s="25">
        <f>Eingaben!$B$31*MAX(0,J12*(1+Eingaben!$B$22)^A12-K12)/(1+Eingaben!$B$22)^A12</f>
        <v>43772.712704005753</v>
      </c>
      <c r="M12" s="13">
        <f>D12+E12+J12</f>
        <v>847626.39858064568</v>
      </c>
      <c r="N12" s="25">
        <f>M12-L12</f>
        <v>803853.68587663991</v>
      </c>
      <c r="O12" s="25">
        <f>MAX(0,(O11*(1+Eingaben!$C$18)+G12)-I12)</f>
        <v>883487.11641454673</v>
      </c>
      <c r="P12" s="25">
        <f>IF((O11*(1+Eingaben!$C$18)+G12)&gt;0,(P11+G12*(1+Eingaben!$B$22)^A12)*O12/(O11*(1+Eingaben!$C$18)+G12),0)</f>
        <v>775262.10919902427</v>
      </c>
      <c r="Q12" s="25">
        <f>Eingaben!$B$31*MAX(0,O12*(1+Eingaben!$B$22)^A12-P12)/(1+Eingaben!$B$22)^A12</f>
        <v>60896.499340819915</v>
      </c>
      <c r="R12" s="13">
        <f>D12+E12+O12</f>
        <v>913487.11641454673</v>
      </c>
      <c r="S12" s="25">
        <f>R12-Q12</f>
        <v>852590.61707372684</v>
      </c>
      <c r="T12" s="25">
        <f>MAX(0,(T11*(1+Eingaben!$C$19)+G12)-I12)</f>
        <v>954360.78287895815</v>
      </c>
      <c r="U12" s="25">
        <f>IF((T11*(1+Eingaben!$C$19)+G12)&gt;0,(U11+G12*(1+Eingaben!$B$22)^A12)*T12/(T11*(1+Eingaben!$C$19)+G12),0)</f>
        <v>775262.10919902427</v>
      </c>
      <c r="V12" s="25">
        <f>Eingaben!$B$31*MAX(0,T12*(1+Eingaben!$B$22)^A12-U12)/(1+Eingaben!$B$22)^A12</f>
        <v>79323.652621566929</v>
      </c>
      <c r="W12" s="13">
        <f>D12+E12+T12</f>
        <v>984360.78287895815</v>
      </c>
      <c r="X12" s="25">
        <f>W12-V12</f>
        <v>905037.13025739125</v>
      </c>
    </row>
    <row r="13" spans="1:24" x14ac:dyDescent="0.3">
      <c r="A13" s="30">
        <v>7</v>
      </c>
      <c r="B13" s="30">
        <f>Eingaben!$B$8+A13</f>
        <v>2033</v>
      </c>
      <c r="C13" s="30">
        <f>Eingaben!$B$9+A13</f>
        <v>27</v>
      </c>
      <c r="D13" s="25">
        <f>D12*(1+Eingaben!$C$20)</f>
        <v>30000</v>
      </c>
      <c r="E13" s="25" cm="1">
        <f t="array" ref="E13">SUMPRODUCT(('Leiter 3 und 5 Jahre'!$E$9:$E$13&gt;A13)*'Leiter 3 und 5 Jahre'!$O$9:$O$13)*(1+Eingaben!$C$21)^A13</f>
        <v>0</v>
      </c>
      <c r="F13" s="25" cm="1">
        <f t="array" ref="F13">SUMPRODUCT(('Leiter 3 und 5 Jahre'!$E$9:$E$13=A13)*'Leiter 3 und 5 Jahre'!$P$9:$P$13)</f>
        <v>0</v>
      </c>
      <c r="G13" s="25">
        <f>F13*Eingaben!$B$26</f>
        <v>0</v>
      </c>
      <c r="H13" s="25">
        <f>F13-G13</f>
        <v>0</v>
      </c>
      <c r="I13" s="25">
        <f>IF(AND(A13&gt;0,A13&gt;=Eingaben!$B$28,A13&lt;=Eingaben!$C$28),Eingaben!$B$27*12,0)</f>
        <v>0</v>
      </c>
      <c r="J13" s="25">
        <f>MAX(0,(J12*(1+Eingaben!$C$17)+G13)-I13)</f>
        <v>842155.19053806504</v>
      </c>
      <c r="K13" s="25">
        <f>IF((J12*(1+Eingaben!$C$17)+G13)&gt;0,(K12+G13*(1+Eingaben!$B$22)^A13)*J13/(J12*(1+Eingaben!$C$17)+G13),0)</f>
        <v>775262.10919902392</v>
      </c>
      <c r="L13" s="25">
        <f>Eingaben!$B$31*MAX(0,J13*(1+Eingaben!$B$22)^A13-K13)/(1+Eingaben!$B$22)^A13</f>
        <v>55066.999125370588</v>
      </c>
      <c r="M13" s="13">
        <f>D13+E13+J13</f>
        <v>872155.19053806504</v>
      </c>
      <c r="N13" s="25">
        <f>M13-L13</f>
        <v>817088.1914126944</v>
      </c>
      <c r="O13" s="25">
        <f>MAX(0,(O12*(1+Eingaben!$C$18)+G13)-I13)</f>
        <v>927661.47223527415</v>
      </c>
      <c r="P13" s="25">
        <f>IF((O12*(1+Eingaben!$C$18)+G13)&gt;0,(P12+G13*(1+Eingaben!$B$22)^A13)*O13/(O12*(1+Eingaben!$C$18)+G13),0)</f>
        <v>775262.10919902427</v>
      </c>
      <c r="Q13" s="25">
        <f>Eingaben!$B$31*MAX(0,O13*(1+Eingaben!$B$22)^A13-P13)/(1+Eingaben!$B$22)^A13</f>
        <v>77298.632366644859</v>
      </c>
      <c r="R13" s="13">
        <f>D13+E13+O13</f>
        <v>957661.47223527415</v>
      </c>
      <c r="S13" s="25">
        <f>R13-Q13</f>
        <v>880362.83986862935</v>
      </c>
      <c r="T13" s="25">
        <f>MAX(0,(T12*(1+Eingaben!$C$19)+G13)-I13)</f>
        <v>1021166.0376804853</v>
      </c>
      <c r="U13" s="25">
        <f>IF((T12*(1+Eingaben!$C$19)+G13)&gt;0,(U12+G13*(1+Eingaben!$B$22)^A13)*T13/(T12*(1+Eingaben!$C$19)+G13),0)</f>
        <v>775262.10919902427</v>
      </c>
      <c r="V13" s="25">
        <f>Eingaben!$B$31*MAX(0,T13*(1+Eingaben!$B$22)^A13-U13)/(1+Eingaben!$B$22)^A13</f>
        <v>101609.81938239977</v>
      </c>
      <c r="W13" s="13">
        <f>D13+E13+T13</f>
        <v>1051166.0376804853</v>
      </c>
      <c r="X13" s="25">
        <f>W13-V13</f>
        <v>949556.2182980855</v>
      </c>
    </row>
    <row r="14" spans="1:24" x14ac:dyDescent="0.3">
      <c r="A14" s="30">
        <v>8</v>
      </c>
      <c r="B14" s="30">
        <f>Eingaben!$B$8+A14</f>
        <v>2034</v>
      </c>
      <c r="C14" s="30">
        <f>Eingaben!$B$9+A14</f>
        <v>28</v>
      </c>
      <c r="D14" s="25">
        <f>D13*(1+Eingaben!$C$20)</f>
        <v>30000</v>
      </c>
      <c r="E14" s="25" cm="1">
        <f t="array" ref="E14">SUMPRODUCT(('Leiter 3 und 5 Jahre'!$E$9:$E$13&gt;A14)*'Leiter 3 und 5 Jahre'!$O$9:$O$13)*(1+Eingaben!$C$21)^A14</f>
        <v>0</v>
      </c>
      <c r="F14" s="25" cm="1">
        <f t="array" ref="F14">SUMPRODUCT(('Leiter 3 und 5 Jahre'!$E$9:$E$13=A14)*'Leiter 3 und 5 Jahre'!$P$9:$P$13)</f>
        <v>0</v>
      </c>
      <c r="G14" s="25">
        <f>F14*Eingaben!$B$26</f>
        <v>0</v>
      </c>
      <c r="H14" s="25">
        <f>F14-G14</f>
        <v>0</v>
      </c>
      <c r="I14" s="25">
        <f>IF(AND(A14&gt;0,A14&gt;=Eingaben!$B$28,A14&lt;=Eingaben!$C$28),Eingaben!$B$27*12,0)</f>
        <v>0</v>
      </c>
      <c r="J14" s="25">
        <f>MAX(0,(J13*(1+Eingaben!$C$17)+G14)-I14)</f>
        <v>867419.84625420696</v>
      </c>
      <c r="K14" s="25">
        <f>IF((J13*(1+Eingaben!$C$17)+G14)&gt;0,(K13+G14*(1+Eingaben!$B$22)^A14)*J14/(J13*(1+Eingaben!$C$17)+G14),0)</f>
        <v>775262.10919902392</v>
      </c>
      <c r="L14" s="25">
        <f>Eingaben!$B$31*MAX(0,J14*(1+Eingaben!$B$22)^A14-K14)/(1+Eingaben!$B$22)^A14</f>
        <v>66409.402342087633</v>
      </c>
      <c r="M14" s="13">
        <f>D14+E14+J14</f>
        <v>897419.84625420696</v>
      </c>
      <c r="N14" s="25">
        <f>M14-L14</f>
        <v>831010.44391211937</v>
      </c>
      <c r="O14" s="25">
        <f>MAX(0,(O13*(1+Eingaben!$C$18)+G14)-I14)</f>
        <v>974044.54584703792</v>
      </c>
      <c r="P14" s="25">
        <f>IF((O13*(1+Eingaben!$C$18)+G14)&gt;0,(P13+G14*(1+Eingaben!$B$22)^A14)*O14/(O13*(1+Eingaben!$C$18)+G14),0)</f>
        <v>775262.10919902427</v>
      </c>
      <c r="Q14" s="25">
        <f>Eingaben!$B$31*MAX(0,O14*(1+Eingaben!$B$22)^A14-P14)/(1+Eingaben!$B$22)^A14</f>
        <v>94131.824236223605</v>
      </c>
      <c r="R14" s="13">
        <f>D14+E14+O14</f>
        <v>1004044.5458470379</v>
      </c>
      <c r="S14" s="25">
        <f>R14-Q14</f>
        <v>909912.72161081433</v>
      </c>
      <c r="T14" s="25">
        <f>MAX(0,(T13*(1+Eingaben!$C$19)+G14)-I14)</f>
        <v>1092647.6603181192</v>
      </c>
      <c r="U14" s="25">
        <f>IF((T13*(1+Eingaben!$C$19)+G14)&gt;0,(U13+G14*(1+Eingaben!$B$22)^A14)*T14/(T13*(1+Eingaben!$C$19)+G14),0)</f>
        <v>775262.10919902427</v>
      </c>
      <c r="V14" s="25">
        <f>Eingaben!$B$31*MAX(0,T14*(1+Eingaben!$B$22)^A14-U14)/(1+Eingaben!$B$22)^A14</f>
        <v>124968.63399870477</v>
      </c>
      <c r="W14" s="13">
        <f>D14+E14+T14</f>
        <v>1122647.6603181192</v>
      </c>
      <c r="X14" s="25">
        <f>W14-V14</f>
        <v>997679.02631941449</v>
      </c>
    </row>
    <row r="15" spans="1:24" x14ac:dyDescent="0.3">
      <c r="A15" s="30">
        <v>9</v>
      </c>
      <c r="B15" s="30">
        <f>Eingaben!$B$8+A15</f>
        <v>2035</v>
      </c>
      <c r="C15" s="30">
        <f>Eingaben!$B$9+A15</f>
        <v>29</v>
      </c>
      <c r="D15" s="25">
        <f>D14*(1+Eingaben!$C$20)</f>
        <v>30000</v>
      </c>
      <c r="E15" s="25" cm="1">
        <f t="array" ref="E15">SUMPRODUCT(('Leiter 3 und 5 Jahre'!$E$9:$E$13&gt;A15)*'Leiter 3 und 5 Jahre'!$O$9:$O$13)*(1+Eingaben!$C$21)^A15</f>
        <v>0</v>
      </c>
      <c r="F15" s="25" cm="1">
        <f t="array" ref="F15">SUMPRODUCT(('Leiter 3 und 5 Jahre'!$E$9:$E$13=A15)*'Leiter 3 und 5 Jahre'!$P$9:$P$13)</f>
        <v>0</v>
      </c>
      <c r="G15" s="25">
        <f>F15*Eingaben!$B$26</f>
        <v>0</v>
      </c>
      <c r="H15" s="25">
        <f>F15-G15</f>
        <v>0</v>
      </c>
      <c r="I15" s="25">
        <f>IF(AND(A15&gt;0,A15&gt;=Eingaben!$B$28,A15&lt;=Eingaben!$C$28),Eingaben!$B$27*12,0)</f>
        <v>0</v>
      </c>
      <c r="J15" s="25">
        <f>MAX(0,(J14*(1+Eingaben!$C$17)+G15)-I15)</f>
        <v>893442.44164183317</v>
      </c>
      <c r="K15" s="25">
        <f>IF((J14*(1+Eingaben!$C$17)+G15)&gt;0,(K14+G15*(1+Eingaben!$B$22)^A15)*J15/(J14*(1+Eingaben!$C$17)+G15),0)</f>
        <v>775262.10919902392</v>
      </c>
      <c r="L15" s="25">
        <f>Eingaben!$B$31*MAX(0,J15*(1+Eingaben!$B$22)^A15-K15)/(1+Eingaben!$B$22)^A15</f>
        <v>77809.833191919199</v>
      </c>
      <c r="M15" s="13">
        <f>D15+E15+J15</f>
        <v>923442.44164183317</v>
      </c>
      <c r="N15" s="25">
        <f>M15-L15</f>
        <v>845632.60844991403</v>
      </c>
      <c r="O15" s="25">
        <f>MAX(0,(O14*(1+Eingaben!$C$18)+G15)-I15)</f>
        <v>1022746.7731393898</v>
      </c>
      <c r="P15" s="25">
        <f>IF((O14*(1+Eingaben!$C$18)+G15)&gt;0,(P14+G15*(1+Eingaben!$B$22)^A15)*O15/(O14*(1+Eingaben!$C$18)+G15),0)</f>
        <v>775262.10919902427</v>
      </c>
      <c r="Q15" s="25">
        <f>Eingaben!$B$31*MAX(0,O15*(1+Eingaben!$B$22)^A15-P15)/(1+Eingaben!$B$22)^A15</f>
        <v>111428.95938128384</v>
      </c>
      <c r="R15" s="13">
        <f>D15+E15+O15</f>
        <v>1052746.7731393897</v>
      </c>
      <c r="S15" s="25">
        <f>R15-Q15</f>
        <v>941317.81375810585</v>
      </c>
      <c r="T15" s="25">
        <f>MAX(0,(T14*(1+Eingaben!$C$19)+G15)-I15)</f>
        <v>1169132.9965403876</v>
      </c>
      <c r="U15" s="25">
        <f>IF((T14*(1+Eingaben!$C$19)+G15)&gt;0,(U14+G15*(1+Eingaben!$B$22)^A15)*T15/(T14*(1+Eingaben!$C$19)+G15),0)</f>
        <v>775262.10919902427</v>
      </c>
      <c r="V15" s="25">
        <f>Eingaben!$B$31*MAX(0,T15*(1+Eingaben!$B$22)^A15-U15)/(1+Eingaben!$B$22)^A15</f>
        <v>149489.37746554325</v>
      </c>
      <c r="W15" s="13">
        <f>D15+E15+T15</f>
        <v>1199132.9965403876</v>
      </c>
      <c r="X15" s="25">
        <f>W15-V15</f>
        <v>1049643.6190748443</v>
      </c>
    </row>
    <row r="16" spans="1:24" x14ac:dyDescent="0.3">
      <c r="A16" s="33">
        <v>10</v>
      </c>
      <c r="B16" s="33">
        <f>Eingaben!$B$8+A16</f>
        <v>2036</v>
      </c>
      <c r="C16" s="33">
        <f>Eingaben!$B$9+A16</f>
        <v>30</v>
      </c>
      <c r="D16" s="34">
        <f>D15*(1+Eingaben!$C$20)</f>
        <v>30000</v>
      </c>
      <c r="E16" s="34" cm="1">
        <f t="array" ref="E16">SUMPRODUCT(('Leiter 3 und 5 Jahre'!$E$9:$E$13&gt;A16)*'Leiter 3 und 5 Jahre'!$O$9:$O$13)*(1+Eingaben!$C$21)^A16</f>
        <v>0</v>
      </c>
      <c r="F16" s="34" cm="1">
        <f t="array" ref="F16">SUMPRODUCT(('Leiter 3 und 5 Jahre'!$E$9:$E$13=A16)*'Leiter 3 und 5 Jahre'!$P$9:$P$13)</f>
        <v>0</v>
      </c>
      <c r="G16" s="34">
        <f>F16*Eingaben!$B$26</f>
        <v>0</v>
      </c>
      <c r="H16" s="34">
        <f>F16-G16</f>
        <v>0</v>
      </c>
      <c r="I16" s="34">
        <f>IF(AND(A16&gt;0,A16&gt;=Eingaben!$B$28,A16&lt;=Eingaben!$C$28),Eingaben!$B$27*12,0)</f>
        <v>0</v>
      </c>
      <c r="J16" s="34">
        <f>MAX(0,(J15*(1+Eingaben!$C$17)+G16)-I16)</f>
        <v>920245.7148910882</v>
      </c>
      <c r="K16" s="34">
        <f>IF((J15*(1+Eingaben!$C$17)+G16)&gt;0,(K15+G16*(1+Eingaben!$B$22)^A16)*J16/(J15*(1+Eingaben!$C$17)+G16),0)</f>
        <v>775262.10919902392</v>
      </c>
      <c r="L16" s="34">
        <f>Eingaben!$B$31*MAX(0,J16*(1+Eingaben!$B$22)^A16-K16)/(1+Eingaben!$B$22)^A16</f>
        <v>89278.25321638443</v>
      </c>
      <c r="M16" s="31">
        <f>D16+E16+J16</f>
        <v>950245.7148910882</v>
      </c>
      <c r="N16" s="34">
        <f>M16-L16</f>
        <v>860967.46167470375</v>
      </c>
      <c r="O16" s="34">
        <f>MAX(0,(O15*(1+Eingaben!$C$18)+G16)-I16)</f>
        <v>1073884.1117963593</v>
      </c>
      <c r="P16" s="34">
        <f>IF((O15*(1+Eingaben!$C$18)+G16)&gt;0,(P15+G16*(1+Eingaben!$B$22)^A16)*O16/(O15*(1+Eingaben!$C$18)+G16),0)</f>
        <v>775262.10919902427</v>
      </c>
      <c r="Q16" s="34">
        <f>Eingaben!$B$31*MAX(0,O16*(1+Eingaben!$B$22)^A16-P16)/(1+Eingaben!$B$22)^A16</f>
        <v>129224.23641175484</v>
      </c>
      <c r="R16" s="31">
        <f>D16+E16+O16</f>
        <v>1103884.1117963593</v>
      </c>
      <c r="S16" s="34">
        <f>R16-Q16</f>
        <v>974659.87538460444</v>
      </c>
      <c r="T16" s="34">
        <f>MAX(0,(T15*(1+Eingaben!$C$19)+G16)-I16)</f>
        <v>1250972.3062982149</v>
      </c>
      <c r="U16" s="34">
        <f>IF((T15*(1+Eingaben!$C$19)+G16)&gt;0,(U15+G16*(1+Eingaben!$B$22)^A16)*T16/(T15*(1+Eingaben!$C$19)+G16),0)</f>
        <v>775262.10919902427</v>
      </c>
      <c r="V16" s="34">
        <f>Eingaben!$B$31*MAX(0,T16*(1+Eingaben!$B$22)^A16-U16)/(1+Eingaben!$B$22)^A16</f>
        <v>175267.16698223737</v>
      </c>
      <c r="W16" s="31">
        <f>D16+E16+T16</f>
        <v>1280972.3062982149</v>
      </c>
      <c r="X16" s="34">
        <f>W16-V16</f>
        <v>1105705.1393159777</v>
      </c>
    </row>
    <row r="17" spans="1:24" x14ac:dyDescent="0.3">
      <c r="A17" s="30">
        <v>11</v>
      </c>
      <c r="B17" s="30">
        <f>Eingaben!$B$8+A17</f>
        <v>2037</v>
      </c>
      <c r="C17" s="30">
        <f>Eingaben!$B$9+A17</f>
        <v>31</v>
      </c>
      <c r="D17" s="25">
        <f>D16*(1+Eingaben!$C$20)</f>
        <v>30000</v>
      </c>
      <c r="E17" s="25" cm="1">
        <f t="array" ref="E17">SUMPRODUCT(('Leiter 3 und 5 Jahre'!$E$9:$E$13&gt;A17)*'Leiter 3 und 5 Jahre'!$O$9:$O$13)*(1+Eingaben!$C$21)^A17</f>
        <v>0</v>
      </c>
      <c r="F17" s="25" cm="1">
        <f t="array" ref="F17">SUMPRODUCT(('Leiter 3 und 5 Jahre'!$E$9:$E$13=A17)*'Leiter 3 und 5 Jahre'!$P$9:$P$13)</f>
        <v>0</v>
      </c>
      <c r="G17" s="25">
        <f>F17*Eingaben!$B$26</f>
        <v>0</v>
      </c>
      <c r="H17" s="25">
        <f>F17-G17</f>
        <v>0</v>
      </c>
      <c r="I17" s="25">
        <f>IF(AND(A17&gt;0,A17&gt;=Eingaben!$B$28,A17&lt;=Eingaben!$C$28),Eingaben!$B$27*12,0)</f>
        <v>0</v>
      </c>
      <c r="J17" s="25">
        <f>MAX(0,(J16*(1+Eingaben!$C$17)+G17)-I17)</f>
        <v>947853.08633782086</v>
      </c>
      <c r="K17" s="25">
        <f>IF((J16*(1+Eingaben!$C$17)+G17)&gt;0,(K16+G17*(1+Eingaben!$B$22)^A17)*J17/(J16*(1+Eingaben!$C$17)+G17),0)</f>
        <v>775262.10919902392</v>
      </c>
      <c r="L17" s="25">
        <f>Eingaben!$B$31*MAX(0,J17*(1+Eingaben!$B$22)^A17-K17)/(1+Eingaben!$B$22)^A17</f>
        <v>100824.68336501936</v>
      </c>
      <c r="M17" s="13">
        <f>D17+E17+J17</f>
        <v>977853.08633782086</v>
      </c>
      <c r="N17" s="25">
        <f>M17-L17</f>
        <v>877028.40297280147</v>
      </c>
      <c r="O17" s="25">
        <f>MAX(0,(O16*(1+Eingaben!$C$18)+G17)-I17)</f>
        <v>1127578.3173861774</v>
      </c>
      <c r="P17" s="25">
        <f>IF((O16*(1+Eingaben!$C$18)+G17)&gt;0,(P16+G17*(1+Eingaben!$B$22)^A17)*O17/(O16*(1+Eingaben!$C$18)+G17),0)</f>
        <v>775262.10919902427</v>
      </c>
      <c r="Q17" s="25">
        <f>Eingaben!$B$31*MAX(0,O17*(1+Eingaben!$B$22)^A17-P17)/(1+Eingaben!$B$22)^A17</f>
        <v>147553.24343759197</v>
      </c>
      <c r="R17" s="13">
        <f>D17+E17+O17</f>
        <v>1157578.3173861774</v>
      </c>
      <c r="S17" s="25">
        <f>R17-Q17</f>
        <v>1010025.0739485854</v>
      </c>
      <c r="T17" s="25">
        <f>MAX(0,(T16*(1+Eingaben!$C$19)+G17)-I17)</f>
        <v>1338540.36773909</v>
      </c>
      <c r="U17" s="25">
        <f>IF((T16*(1+Eingaben!$C$19)+G17)&gt;0,(U16+G17*(1+Eingaben!$B$22)^A17)*T17/(T16*(1+Eingaben!$C$19)+G17),0)</f>
        <v>775262.10919902427</v>
      </c>
      <c r="V17" s="25">
        <f>Eingaben!$B$31*MAX(0,T17*(1+Eingaben!$B$22)^A17-U17)/(1+Eingaben!$B$22)^A17</f>
        <v>202403.37652934928</v>
      </c>
      <c r="W17" s="13">
        <f>D17+E17+T17</f>
        <v>1368540.36773909</v>
      </c>
      <c r="X17" s="25">
        <f>W17-V17</f>
        <v>1166136.9912097408</v>
      </c>
    </row>
    <row r="18" spans="1:24" x14ac:dyDescent="0.3">
      <c r="A18" s="30">
        <v>12</v>
      </c>
      <c r="B18" s="30">
        <f>Eingaben!$B$8+A18</f>
        <v>2038</v>
      </c>
      <c r="C18" s="30">
        <f>Eingaben!$B$9+A18</f>
        <v>32</v>
      </c>
      <c r="D18" s="25">
        <f>D17*(1+Eingaben!$C$20)</f>
        <v>30000</v>
      </c>
      <c r="E18" s="25" cm="1">
        <f t="array" ref="E18">SUMPRODUCT(('Leiter 3 und 5 Jahre'!$E$9:$E$13&gt;A18)*'Leiter 3 und 5 Jahre'!$O$9:$O$13)*(1+Eingaben!$C$21)^A18</f>
        <v>0</v>
      </c>
      <c r="F18" s="25" cm="1">
        <f t="array" ref="F18">SUMPRODUCT(('Leiter 3 und 5 Jahre'!$E$9:$E$13=A18)*'Leiter 3 und 5 Jahre'!$P$9:$P$13)</f>
        <v>0</v>
      </c>
      <c r="G18" s="25">
        <f>F18*Eingaben!$B$26</f>
        <v>0</v>
      </c>
      <c r="H18" s="25">
        <f>F18-G18</f>
        <v>0</v>
      </c>
      <c r="I18" s="25">
        <f>IF(AND(A18&gt;0,A18&gt;=Eingaben!$B$28,A18&lt;=Eingaben!$C$28),Eingaben!$B$27*12,0)</f>
        <v>0</v>
      </c>
      <c r="J18" s="25">
        <f>MAX(0,(J17*(1+Eingaben!$C$17)+G18)-I18)</f>
        <v>976288.67892795557</v>
      </c>
      <c r="K18" s="25">
        <f>IF((J17*(1+Eingaben!$C$17)+G18)&gt;0,(K17+G18*(1+Eingaben!$B$22)^A18)*J18/(J17*(1+Eingaben!$C$17)+G18),0)</f>
        <v>775262.10919902404</v>
      </c>
      <c r="L18" s="25">
        <f>Eingaben!$B$31*MAX(0,J18*(1+Eingaben!$B$22)^A18-K18)/(1+Eingaben!$B$22)^A18</f>
        <v>112459.21275154602</v>
      </c>
      <c r="M18" s="13">
        <f>D18+E18+J18</f>
        <v>1006288.6789279556</v>
      </c>
      <c r="N18" s="25">
        <f>M18-L18</f>
        <v>893829.46617640951</v>
      </c>
      <c r="O18" s="25">
        <f>MAX(0,(O17*(1+Eingaben!$C$18)+G18)-I18)</f>
        <v>1183957.2332554862</v>
      </c>
      <c r="P18" s="25">
        <f>IF((O17*(1+Eingaben!$C$18)+G18)&gt;0,(P17+G18*(1+Eingaben!$B$22)^A18)*O18/(O17*(1+Eingaben!$C$18)+G18),0)</f>
        <v>775262.10919902427</v>
      </c>
      <c r="Q18" s="25">
        <f>Eingaben!$B$31*MAX(0,O18*(1+Eingaben!$B$22)^A18-P18)/(1+Eingaben!$B$22)^A18</f>
        <v>166453.03687670396</v>
      </c>
      <c r="R18" s="13">
        <f>D18+E18+O18</f>
        <v>1213957.2332554862</v>
      </c>
      <c r="S18" s="25">
        <f>R18-Q18</f>
        <v>1047504.1963787823</v>
      </c>
      <c r="T18" s="25">
        <f>MAX(0,(T17*(1+Eingaben!$C$19)+G18)-I18)</f>
        <v>1432238.1934808264</v>
      </c>
      <c r="U18" s="25">
        <f>IF((T17*(1+Eingaben!$C$19)+G18)&gt;0,(U17+G18*(1+Eingaben!$B$22)^A18)*T18/(T17*(1+Eingaben!$C$19)+G18),0)</f>
        <v>775262.10919902427</v>
      </c>
      <c r="V18" s="25">
        <f>Eingaben!$B$31*MAX(0,T18*(1+Eingaben!$B$22)^A18-U18)/(1+Eingaben!$B$22)^A18</f>
        <v>231006.08653529239</v>
      </c>
      <c r="W18" s="13">
        <f>D18+E18+T18</f>
        <v>1462238.1934808264</v>
      </c>
      <c r="X18" s="25">
        <f>W18-V18</f>
        <v>1231232.106945534</v>
      </c>
    </row>
    <row r="19" spans="1:24" x14ac:dyDescent="0.3">
      <c r="A19" s="30">
        <v>13</v>
      </c>
      <c r="B19" s="30">
        <f>Eingaben!$B$8+A19</f>
        <v>2039</v>
      </c>
      <c r="C19" s="30">
        <f>Eingaben!$B$9+A19</f>
        <v>33</v>
      </c>
      <c r="D19" s="25">
        <f>D18*(1+Eingaben!$C$20)</f>
        <v>30000</v>
      </c>
      <c r="E19" s="25" cm="1">
        <f t="array" ref="E19">SUMPRODUCT(('Leiter 3 und 5 Jahre'!$E$9:$E$13&gt;A19)*'Leiter 3 und 5 Jahre'!$O$9:$O$13)*(1+Eingaben!$C$21)^A19</f>
        <v>0</v>
      </c>
      <c r="F19" s="25" cm="1">
        <f t="array" ref="F19">SUMPRODUCT(('Leiter 3 und 5 Jahre'!$E$9:$E$13=A19)*'Leiter 3 und 5 Jahre'!$P$9:$P$13)</f>
        <v>0</v>
      </c>
      <c r="G19" s="25">
        <f>F19*Eingaben!$B$26</f>
        <v>0</v>
      </c>
      <c r="H19" s="25">
        <f>F19-G19</f>
        <v>0</v>
      </c>
      <c r="I19" s="25">
        <f>IF(AND(A19&gt;0,A19&gt;=Eingaben!$B$28,A19&lt;=Eingaben!$C$28),Eingaben!$B$27*12,0)</f>
        <v>0</v>
      </c>
      <c r="J19" s="25">
        <f>MAX(0,(J18*(1+Eingaben!$C$17)+G19)-I19)</f>
        <v>1005577.3392957943</v>
      </c>
      <c r="K19" s="25">
        <f>IF((J18*(1+Eingaben!$C$17)+G19)&gt;0,(K18+G19*(1+Eingaben!$B$22)^A19)*J19/(J18*(1+Eingaben!$C$17)+G19),0)</f>
        <v>775262.10919902404</v>
      </c>
      <c r="L19" s="25">
        <f>Eingaben!$B$31*MAX(0,J19*(1+Eingaben!$B$22)^A19-K19)/(1+Eingaben!$B$22)^A19</f>
        <v>124192.00746960317</v>
      </c>
      <c r="M19" s="13">
        <f>D19+E19+J19</f>
        <v>1035577.3392957943</v>
      </c>
      <c r="N19" s="25">
        <f>M19-L19</f>
        <v>911385.33182619105</v>
      </c>
      <c r="O19" s="25">
        <f>MAX(0,(O18*(1+Eingaben!$C$18)+G19)-I19)</f>
        <v>1243155.0949182606</v>
      </c>
      <c r="P19" s="25">
        <f>IF((O18*(1+Eingaben!$C$18)+G19)&gt;0,(P18+G19*(1+Eingaben!$B$22)^A19)*O19/(O18*(1+Eingaben!$C$18)+G19),0)</f>
        <v>775262.10919902427</v>
      </c>
      <c r="Q19" s="25">
        <f>Eingaben!$B$31*MAX(0,O19*(1+Eingaben!$B$22)^A19-P19)/(1+Eingaben!$B$22)^A19</f>
        <v>185962.22393144437</v>
      </c>
      <c r="R19" s="13">
        <f>D19+E19+O19</f>
        <v>1273155.0949182606</v>
      </c>
      <c r="S19" s="25">
        <f>R19-Q19</f>
        <v>1087192.8709868162</v>
      </c>
      <c r="T19" s="25">
        <f>MAX(0,(T18*(1+Eingaben!$C$19)+G19)-I19)</f>
        <v>1532494.8670244843</v>
      </c>
      <c r="U19" s="25">
        <f>IF((T18*(1+Eingaben!$C$19)+G19)&gt;0,(U18+G19*(1+Eingaben!$B$22)^A19)*T19/(T18*(1+Eingaben!$C$19)+G19),0)</f>
        <v>775262.10919902415</v>
      </c>
      <c r="V19" s="25">
        <f>Eingaben!$B$31*MAX(0,T19*(1+Eingaben!$B$22)^A19-U19)/(1+Eingaben!$B$22)^A19</f>
        <v>261190.56467906255</v>
      </c>
      <c r="W19" s="13">
        <f>D19+E19+T19</f>
        <v>1562494.8670244843</v>
      </c>
      <c r="X19" s="25">
        <f>W19-V19</f>
        <v>1301304.3023454219</v>
      </c>
    </row>
    <row r="20" spans="1:24" x14ac:dyDescent="0.3">
      <c r="A20" s="30">
        <v>14</v>
      </c>
      <c r="B20" s="30">
        <f>Eingaben!$B$8+A20</f>
        <v>2040</v>
      </c>
      <c r="C20" s="30">
        <f>Eingaben!$B$9+A20</f>
        <v>34</v>
      </c>
      <c r="D20" s="25">
        <f>D19*(1+Eingaben!$C$20)</f>
        <v>30000</v>
      </c>
      <c r="E20" s="25" cm="1">
        <f t="array" ref="E20">SUMPRODUCT(('Leiter 3 und 5 Jahre'!$E$9:$E$13&gt;A20)*'Leiter 3 und 5 Jahre'!$O$9:$O$13)*(1+Eingaben!$C$21)^A20</f>
        <v>0</v>
      </c>
      <c r="F20" s="25" cm="1">
        <f t="array" ref="F20">SUMPRODUCT(('Leiter 3 und 5 Jahre'!$E$9:$E$13=A20)*'Leiter 3 und 5 Jahre'!$P$9:$P$13)</f>
        <v>0</v>
      </c>
      <c r="G20" s="25">
        <f>F20*Eingaben!$B$26</f>
        <v>0</v>
      </c>
      <c r="H20" s="25">
        <f>F20-G20</f>
        <v>0</v>
      </c>
      <c r="I20" s="25">
        <f>IF(AND(A20&gt;0,A20&gt;=Eingaben!$B$28,A20&lt;=Eingaben!$C$28),Eingaben!$B$27*12,0)</f>
        <v>0</v>
      </c>
      <c r="J20" s="25">
        <f>MAX(0,(J19*(1+Eingaben!$C$17)+G20)-I20)</f>
        <v>1035744.6594746681</v>
      </c>
      <c r="K20" s="25">
        <f>IF((J19*(1+Eingaben!$C$17)+G20)&gt;0,(K19+G20*(1+Eingaben!$B$22)^A20)*J20/(J19*(1+Eingaben!$C$17)+G20),0)</f>
        <v>775262.10919902404</v>
      </c>
      <c r="L20" s="25">
        <f>Eingaben!$B$31*MAX(0,J20*(1+Eingaben!$B$22)^A20-K20)/(1+Eingaben!$B$22)^A20</f>
        <v>136033.3194757406</v>
      </c>
      <c r="M20" s="13">
        <f>D20+E20+J20</f>
        <v>1065744.6594746681</v>
      </c>
      <c r="N20" s="25">
        <f>M20-L20</f>
        <v>929711.33999892743</v>
      </c>
      <c r="O20" s="25">
        <f>MAX(0,(O19*(1+Eingaben!$C$18)+G20)-I20)</f>
        <v>1305312.8496641736</v>
      </c>
      <c r="P20" s="25">
        <f>IF((O19*(1+Eingaben!$C$18)+G20)&gt;0,(P19+G20*(1+Eingaben!$B$22)^A20)*O20/(O19*(1+Eingaben!$C$18)+G20),0)</f>
        <v>775262.10919902427</v>
      </c>
      <c r="Q20" s="25">
        <f>Eingaben!$B$31*MAX(0,O20*(1+Eingaben!$B$22)^A20-P20)/(1+Eingaben!$B$22)^A20</f>
        <v>206121.04892501197</v>
      </c>
      <c r="R20" s="13">
        <f>D20+E20+O20</f>
        <v>1335312.8496641736</v>
      </c>
      <c r="S20" s="25">
        <f>R20-Q20</f>
        <v>1129191.8007391617</v>
      </c>
      <c r="T20" s="25">
        <f>MAX(0,(T19*(1+Eingaben!$C$19)+G20)-I20)</f>
        <v>1639769.5077161982</v>
      </c>
      <c r="U20" s="25">
        <f>IF((T19*(1+Eingaben!$C$19)+G20)&gt;0,(U19+G20*(1+Eingaben!$B$22)^A20)*T20/(T19*(1+Eingaben!$C$19)+G20),0)</f>
        <v>775262.10919902415</v>
      </c>
      <c r="V20" s="25">
        <f>Eingaben!$B$31*MAX(0,T20*(1+Eingaben!$B$22)^A20-U20)/(1+Eingaben!$B$22)^A20</f>
        <v>293079.78001853835</v>
      </c>
      <c r="W20" s="13">
        <f>D20+E20+T20</f>
        <v>1669769.5077161982</v>
      </c>
      <c r="X20" s="25">
        <f>W20-V20</f>
        <v>1376689.7276976597</v>
      </c>
    </row>
    <row r="21" spans="1:24" x14ac:dyDescent="0.3">
      <c r="A21" s="30">
        <v>15</v>
      </c>
      <c r="B21" s="30">
        <f>Eingaben!$B$8+A21</f>
        <v>2041</v>
      </c>
      <c r="C21" s="30">
        <f>Eingaben!$B$9+A21</f>
        <v>35</v>
      </c>
      <c r="D21" s="25">
        <f>D20*(1+Eingaben!$C$20)</f>
        <v>30000</v>
      </c>
      <c r="E21" s="25" cm="1">
        <f t="array" ref="E21">SUMPRODUCT(('Leiter 3 und 5 Jahre'!$E$9:$E$13&gt;A21)*'Leiter 3 und 5 Jahre'!$O$9:$O$13)*(1+Eingaben!$C$21)^A21</f>
        <v>0</v>
      </c>
      <c r="F21" s="25" cm="1">
        <f t="array" ref="F21">SUMPRODUCT(('Leiter 3 und 5 Jahre'!$E$9:$E$13=A21)*'Leiter 3 und 5 Jahre'!$P$9:$P$13)</f>
        <v>0</v>
      </c>
      <c r="G21" s="25">
        <f>F21*Eingaben!$B$26</f>
        <v>0</v>
      </c>
      <c r="H21" s="25">
        <f>F21-G21</f>
        <v>0</v>
      </c>
      <c r="I21" s="25">
        <f>IF(AND(A21&gt;0,A21&gt;=Eingaben!$B$28,A21&lt;=Eingaben!$C$28),Eingaben!$B$27*12,0)</f>
        <v>0</v>
      </c>
      <c r="J21" s="25">
        <f>MAX(0,(J20*(1+Eingaben!$C$17)+G21)-I21)</f>
        <v>1066816.9992589082</v>
      </c>
      <c r="K21" s="25">
        <f>IF((J20*(1+Eingaben!$C$17)+G21)&gt;0,(K20+G21*(1+Eingaben!$B$22)^A21)*J21/(J20*(1+Eingaben!$C$17)+G21),0)</f>
        <v>775262.10919902404</v>
      </c>
      <c r="L21" s="25">
        <f>Eingaben!$B$31*MAX(0,J21*(1+Eingaben!$B$22)^A21-K21)/(1+Eingaben!$B$22)^A21</f>
        <v>147993.49554743935</v>
      </c>
      <c r="M21" s="13">
        <f>D21+E21+J21</f>
        <v>1096816.9992589082</v>
      </c>
      <c r="N21" s="25">
        <f>M21-L21</f>
        <v>948823.50371146889</v>
      </c>
      <c r="O21" s="25">
        <f>MAX(0,(O20*(1+Eingaben!$C$18)+G21)-I21)</f>
        <v>1370578.4921473823</v>
      </c>
      <c r="P21" s="25">
        <f>IF((O20*(1+Eingaben!$C$18)+G21)&gt;0,(P20+G21*(1+Eingaben!$B$22)^A21)*O21/(O20*(1+Eingaben!$C$18)+G21),0)</f>
        <v>775262.10919902427</v>
      </c>
      <c r="Q21" s="25">
        <f>Eingaben!$B$31*MAX(0,O21*(1+Eingaben!$B$22)^A21-P21)/(1+Eingaben!$B$22)^A21</f>
        <v>226971.48369844255</v>
      </c>
      <c r="R21" s="13">
        <f>D21+E21+O21</f>
        <v>1400578.4921473823</v>
      </c>
      <c r="S21" s="25">
        <f>R21-Q21</f>
        <v>1173607.0084489398</v>
      </c>
      <c r="T21" s="25">
        <f>MAX(0,(T20*(1+Eingaben!$C$19)+G21)-I21)</f>
        <v>1754553.3732563322</v>
      </c>
      <c r="U21" s="25">
        <f>IF((T20*(1+Eingaben!$C$19)+G21)&gt;0,(U20+G21*(1+Eingaben!$B$22)^A21)*T21/(T20*(1+Eingaben!$C$19)+G21),0)</f>
        <v>775262.10919902415</v>
      </c>
      <c r="V21" s="25">
        <f>Eingaben!$B$31*MAX(0,T21*(1+Eingaben!$B$22)^A21-U21)/(1+Eingaben!$B$22)^A21</f>
        <v>326804.9527867696</v>
      </c>
      <c r="W21" s="13">
        <f>D21+E21+T21</f>
        <v>1784553.3732563322</v>
      </c>
      <c r="X21" s="25">
        <f>W21-V21</f>
        <v>1457748.4204695625</v>
      </c>
    </row>
    <row r="22" spans="1:24" x14ac:dyDescent="0.3">
      <c r="A22" s="30">
        <v>16</v>
      </c>
      <c r="B22" s="30">
        <f>Eingaben!$B$8+A22</f>
        <v>2042</v>
      </c>
      <c r="C22" s="30">
        <f>Eingaben!$B$9+A22</f>
        <v>36</v>
      </c>
      <c r="D22" s="25">
        <f>D21*(1+Eingaben!$C$20)</f>
        <v>30000</v>
      </c>
      <c r="E22" s="25" cm="1">
        <f t="array" ref="E22">SUMPRODUCT(('Leiter 3 und 5 Jahre'!$E$9:$E$13&gt;A22)*'Leiter 3 und 5 Jahre'!$O$9:$O$13)*(1+Eingaben!$C$21)^A22</f>
        <v>0</v>
      </c>
      <c r="F22" s="25" cm="1">
        <f t="array" ref="F22">SUMPRODUCT(('Leiter 3 und 5 Jahre'!$E$9:$E$13=A22)*'Leiter 3 und 5 Jahre'!$P$9:$P$13)</f>
        <v>0</v>
      </c>
      <c r="G22" s="25">
        <f>F22*Eingaben!$B$26</f>
        <v>0</v>
      </c>
      <c r="H22" s="25">
        <f>F22-G22</f>
        <v>0</v>
      </c>
      <c r="I22" s="25">
        <f>IF(AND(A22&gt;0,A22&gt;=Eingaben!$B$28,A22&lt;=Eingaben!$C$28),Eingaben!$B$27*12,0)</f>
        <v>0</v>
      </c>
      <c r="J22" s="25">
        <f>MAX(0,(J21*(1+Eingaben!$C$17)+G22)-I22)</f>
        <v>1098821.5092366755</v>
      </c>
      <c r="K22" s="25">
        <f>IF((J21*(1+Eingaben!$C$17)+G22)&gt;0,(K21+G22*(1+Eingaben!$B$22)^A22)*J22/(J21*(1+Eingaben!$C$17)+G22),0)</f>
        <v>775262.10919902404</v>
      </c>
      <c r="L22" s="25">
        <f>Eingaben!$B$31*MAX(0,J22*(1+Eingaben!$B$22)^A22-K22)/(1+Eingaben!$B$22)^A22</f>
        <v>160082.9863239853</v>
      </c>
      <c r="M22" s="13">
        <f>D22+E22+J22</f>
        <v>1128821.5092366755</v>
      </c>
      <c r="N22" s="25">
        <f>M22-L22</f>
        <v>968738.52291269018</v>
      </c>
      <c r="O22" s="25">
        <f>MAX(0,(O21*(1+Eingaben!$C$18)+G22)-I22)</f>
        <v>1439107.4167547515</v>
      </c>
      <c r="P22" s="25">
        <f>IF((O21*(1+Eingaben!$C$18)+G22)&gt;0,(P21+G22*(1+Eingaben!$B$22)^A22)*O22/(O21*(1+Eingaben!$C$18)+G22),0)</f>
        <v>775262.10919902427</v>
      </c>
      <c r="Q22" s="25">
        <f>Eingaben!$B$31*MAX(0,O22*(1+Eingaben!$B$22)^A22-P22)/(1+Eingaben!$B$22)^A22</f>
        <v>248557.32227868505</v>
      </c>
      <c r="R22" s="13">
        <f>D22+E22+O22</f>
        <v>1469107.4167547515</v>
      </c>
      <c r="S22" s="25">
        <f>R22-Q22</f>
        <v>1220550.0944760665</v>
      </c>
      <c r="T22" s="25">
        <f>MAX(0,(T21*(1+Eingaben!$C$19)+G22)-I22)</f>
        <v>1877372.1093842755</v>
      </c>
      <c r="U22" s="25">
        <f>IF((T21*(1+Eingaben!$C$19)+G22)&gt;0,(U21+G22*(1+Eingaben!$B$22)^A22)*T22/(T21*(1+Eingaben!$C$19)+G22),0)</f>
        <v>775262.10919902415</v>
      </c>
      <c r="V22" s="25">
        <f>Eingaben!$B$31*MAX(0,T22*(1+Eingaben!$B$22)^A22-U22)/(1+Eingaben!$B$22)^A22</f>
        <v>362506.14236236125</v>
      </c>
      <c r="W22" s="13">
        <f>D22+E22+T22</f>
        <v>1907372.1093842755</v>
      </c>
      <c r="X22" s="25">
        <f>W22-V22</f>
        <v>1544865.9670219142</v>
      </c>
    </row>
    <row r="23" spans="1:24" x14ac:dyDescent="0.3">
      <c r="A23" s="30">
        <v>17</v>
      </c>
      <c r="B23" s="30">
        <f>Eingaben!$B$8+A23</f>
        <v>2043</v>
      </c>
      <c r="C23" s="30">
        <f>Eingaben!$B$9+A23</f>
        <v>37</v>
      </c>
      <c r="D23" s="25">
        <f>D22*(1+Eingaben!$C$20)</f>
        <v>30000</v>
      </c>
      <c r="E23" s="25" cm="1">
        <f t="array" ref="E23">SUMPRODUCT(('Leiter 3 und 5 Jahre'!$E$9:$E$13&gt;A23)*'Leiter 3 und 5 Jahre'!$O$9:$O$13)*(1+Eingaben!$C$21)^A23</f>
        <v>0</v>
      </c>
      <c r="F23" s="25" cm="1">
        <f t="array" ref="F23">SUMPRODUCT(('Leiter 3 und 5 Jahre'!$E$9:$E$13=A23)*'Leiter 3 und 5 Jahre'!$P$9:$P$13)</f>
        <v>0</v>
      </c>
      <c r="G23" s="25">
        <f>F23*Eingaben!$B$26</f>
        <v>0</v>
      </c>
      <c r="H23" s="25">
        <f>F23-G23</f>
        <v>0</v>
      </c>
      <c r="I23" s="25">
        <f>IF(AND(A23&gt;0,A23&gt;=Eingaben!$B$28,A23&lt;=Eingaben!$C$28),Eingaben!$B$27*12,0)</f>
        <v>0</v>
      </c>
      <c r="J23" s="25">
        <f>MAX(0,(J22*(1+Eingaben!$C$17)+G23)-I23)</f>
        <v>1131786.1545137758</v>
      </c>
      <c r="K23" s="25">
        <f>IF((J22*(1+Eingaben!$C$17)+G23)&gt;0,(K22+G23*(1+Eingaben!$B$22)^A23)*J23/(J22*(1+Eingaben!$C$17)+G23),0)</f>
        <v>775262.10919902404</v>
      </c>
      <c r="L23" s="25">
        <f>Eingaben!$B$31*MAX(0,J23*(1+Eingaben!$B$22)^A23-K23)/(1+Eingaben!$B$22)^A23</f>
        <v>172312.35543809595</v>
      </c>
      <c r="M23" s="13">
        <f>D23+E23+J23</f>
        <v>1161786.1545137758</v>
      </c>
      <c r="N23" s="25">
        <f>M23-L23</f>
        <v>989473.79907567985</v>
      </c>
      <c r="O23" s="25">
        <f>MAX(0,(O22*(1+Eingaben!$C$18)+G23)-I23)</f>
        <v>1511062.787592489</v>
      </c>
      <c r="P23" s="25">
        <f>IF((O22*(1+Eingaben!$C$18)+G23)&gt;0,(P22+G23*(1+Eingaben!$B$22)^A23)*O23/(O22*(1+Eingaben!$C$18)+G23),0)</f>
        <v>775262.10919902439</v>
      </c>
      <c r="Q23" s="25">
        <f>Eingaben!$B$31*MAX(0,O23*(1+Eingaben!$B$22)^A23-P23)/(1+Eingaben!$B$22)^A23</f>
        <v>270924.28003856138</v>
      </c>
      <c r="R23" s="13">
        <f>D23+E23+O23</f>
        <v>1541062.787592489</v>
      </c>
      <c r="S23" s="25">
        <f>R23-Q23</f>
        <v>1270138.5075539276</v>
      </c>
      <c r="T23" s="25">
        <f>MAX(0,(T22*(1+Eingaben!$C$19)+G23)-I23)</f>
        <v>2008788.1570411748</v>
      </c>
      <c r="U23" s="25">
        <f>IF((T22*(1+Eingaben!$C$19)+G23)&gt;0,(U22+G23*(1+Eingaben!$B$22)^A23)*T23/(T22*(1+Eingaben!$C$19)+G23),0)</f>
        <v>775262.10919902415</v>
      </c>
      <c r="V23" s="25">
        <f>Eingaben!$B$31*MAX(0,T23*(1+Eingaben!$B$22)^A23-U23)/(1+Eingaben!$B$22)^A23</f>
        <v>400332.87609521969</v>
      </c>
      <c r="W23" s="13">
        <f>D23+E23+T23</f>
        <v>2038788.1570411748</v>
      </c>
      <c r="X23" s="25">
        <f>W23-V23</f>
        <v>1638455.2809459551</v>
      </c>
    </row>
    <row r="24" spans="1:24" x14ac:dyDescent="0.3">
      <c r="A24" s="30">
        <v>18</v>
      </c>
      <c r="B24" s="30">
        <f>Eingaben!$B$8+A24</f>
        <v>2044</v>
      </c>
      <c r="C24" s="30">
        <f>Eingaben!$B$9+A24</f>
        <v>38</v>
      </c>
      <c r="D24" s="25">
        <f>D23*(1+Eingaben!$C$20)</f>
        <v>30000</v>
      </c>
      <c r="E24" s="25" cm="1">
        <f t="array" ref="E24">SUMPRODUCT(('Leiter 3 und 5 Jahre'!$E$9:$E$13&gt;A24)*'Leiter 3 und 5 Jahre'!$O$9:$O$13)*(1+Eingaben!$C$21)^A24</f>
        <v>0</v>
      </c>
      <c r="F24" s="25" cm="1">
        <f t="array" ref="F24">SUMPRODUCT(('Leiter 3 und 5 Jahre'!$E$9:$E$13=A24)*'Leiter 3 und 5 Jahre'!$P$9:$P$13)</f>
        <v>0</v>
      </c>
      <c r="G24" s="25">
        <f>F24*Eingaben!$B$26</f>
        <v>0</v>
      </c>
      <c r="H24" s="25">
        <f>F24-G24</f>
        <v>0</v>
      </c>
      <c r="I24" s="25">
        <f>IF(AND(A24&gt;0,A24&gt;=Eingaben!$B$28,A24&lt;=Eingaben!$C$28),Eingaben!$B$27*12,0)</f>
        <v>0</v>
      </c>
      <c r="J24" s="25">
        <f>MAX(0,(J23*(1+Eingaben!$C$17)+G24)-I24)</f>
        <v>1165739.7391491891</v>
      </c>
      <c r="K24" s="25">
        <f>IF((J23*(1+Eingaben!$C$17)+G24)&gt;0,(K23+G24*(1+Eingaben!$B$22)^A24)*J24/(J23*(1+Eingaben!$C$17)+G24),0)</f>
        <v>775262.10919902404</v>
      </c>
      <c r="L24" s="25">
        <f>Eingaben!$B$31*MAX(0,J24*(1+Eingaben!$B$22)^A24-K24)/(1+Eingaben!$B$22)^A24</f>
        <v>184692.28874627873</v>
      </c>
      <c r="M24" s="13">
        <f>D24+E24+J24</f>
        <v>1195739.7391491891</v>
      </c>
      <c r="N24" s="25">
        <f>M24-L24</f>
        <v>1011047.4504029104</v>
      </c>
      <c r="O24" s="25">
        <f>MAX(0,(O23*(1+Eingaben!$C$18)+G24)-I24)</f>
        <v>1586615.9269721135</v>
      </c>
      <c r="P24" s="25">
        <f>IF((O23*(1+Eingaben!$C$18)+G24)&gt;0,(P23+G24*(1+Eingaben!$B$22)^A24)*O24/(O23*(1+Eingaben!$C$18)+G24),0)</f>
        <v>775262.10919902439</v>
      </c>
      <c r="Q24" s="25">
        <f>Eingaben!$B$31*MAX(0,O24*(1+Eingaben!$B$22)^A24-P24)/(1+Eingaben!$B$22)^A24</f>
        <v>294120.097580239</v>
      </c>
      <c r="R24" s="13">
        <f>D24+E24+O24</f>
        <v>1616615.9269721135</v>
      </c>
      <c r="S24" s="25">
        <f>R24-Q24</f>
        <v>1322495.8293918746</v>
      </c>
      <c r="T24" s="25">
        <f>MAX(0,(T23*(1+Eingaben!$C$19)+G24)-I24)</f>
        <v>2149403.3280340573</v>
      </c>
      <c r="U24" s="25">
        <f>IF((T23*(1+Eingaben!$C$19)+G24)&gt;0,(U23+G24*(1+Eingaben!$B$22)^A24)*T24/(T23*(1+Eingaben!$C$19)+G24),0)</f>
        <v>775262.10919902415</v>
      </c>
      <c r="V24" s="25">
        <f>Eingaben!$B$31*MAX(0,T24*(1+Eingaben!$B$22)^A24-U24)/(1+Eingaben!$B$22)^A24</f>
        <v>440444.82185634441</v>
      </c>
      <c r="W24" s="13">
        <f>D24+E24+T24</f>
        <v>2179403.3280340573</v>
      </c>
      <c r="X24" s="25">
        <f>W24-V24</f>
        <v>1738958.5061777129</v>
      </c>
    </row>
    <row r="25" spans="1:24" x14ac:dyDescent="0.3">
      <c r="A25" s="30">
        <v>19</v>
      </c>
      <c r="B25" s="30">
        <f>Eingaben!$B$8+A25</f>
        <v>2045</v>
      </c>
      <c r="C25" s="30">
        <f>Eingaben!$B$9+A25</f>
        <v>39</v>
      </c>
      <c r="D25" s="25">
        <f>D24*(1+Eingaben!$C$20)</f>
        <v>30000</v>
      </c>
      <c r="E25" s="25" cm="1">
        <f t="array" ref="E25">SUMPRODUCT(('Leiter 3 und 5 Jahre'!$E$9:$E$13&gt;A25)*'Leiter 3 und 5 Jahre'!$O$9:$O$13)*(1+Eingaben!$C$21)^A25</f>
        <v>0</v>
      </c>
      <c r="F25" s="25" cm="1">
        <f t="array" ref="F25">SUMPRODUCT(('Leiter 3 und 5 Jahre'!$E$9:$E$13=A25)*'Leiter 3 und 5 Jahre'!$P$9:$P$13)</f>
        <v>0</v>
      </c>
      <c r="G25" s="25">
        <f>F25*Eingaben!$B$26</f>
        <v>0</v>
      </c>
      <c r="H25" s="25">
        <f>F25-G25</f>
        <v>0</v>
      </c>
      <c r="I25" s="25">
        <f>IF(AND(A25&gt;0,A25&gt;=Eingaben!$B$28,A25&lt;=Eingaben!$C$28),Eingaben!$B$27*12,0)</f>
        <v>0</v>
      </c>
      <c r="J25" s="25">
        <f>MAX(0,(J24*(1+Eingaben!$C$17)+G25)-I25)</f>
        <v>1200711.9313236647</v>
      </c>
      <c r="K25" s="25">
        <f>IF((J24*(1+Eingaben!$C$17)+G25)&gt;0,(K24+G25*(1+Eingaben!$B$22)^A25)*J25/(J24*(1+Eingaben!$C$17)+G25),0)</f>
        <v>775262.10919902404</v>
      </c>
      <c r="L25" s="25">
        <f>Eingaben!$B$31*MAX(0,J25*(1+Eingaben!$B$22)^A25-K25)/(1+Eingaben!$B$22)^A25</f>
        <v>197233.60366598735</v>
      </c>
      <c r="M25" s="13">
        <f>D25+E25+J25</f>
        <v>1230711.9313236647</v>
      </c>
      <c r="N25" s="25">
        <f>M25-L25</f>
        <v>1033478.3276576773</v>
      </c>
      <c r="O25" s="25">
        <f>MAX(0,(O24*(1+Eingaben!$C$18)+G25)-I25)</f>
        <v>1665946.7233207193</v>
      </c>
      <c r="P25" s="25">
        <f>IF((O24*(1+Eingaben!$C$18)+G25)&gt;0,(P24+G25*(1+Eingaben!$B$22)^A25)*O25/(O24*(1+Eingaben!$C$18)+G25),0)</f>
        <v>775262.10919902439</v>
      </c>
      <c r="Q25" s="25">
        <f>Eingaben!$B$31*MAX(0,O25*(1+Eingaben!$B$22)^A25-P25)/(1+Eingaben!$B$22)^A25</f>
        <v>318194.64958522149</v>
      </c>
      <c r="R25" s="13">
        <f>D25+E25+O25</f>
        <v>1695946.7233207193</v>
      </c>
      <c r="S25" s="25">
        <f>R25-Q25</f>
        <v>1377752.0737354979</v>
      </c>
      <c r="T25" s="25">
        <f>MAX(0,(T24*(1+Eingaben!$C$19)+G25)-I25)</f>
        <v>2299861.5609964416</v>
      </c>
      <c r="U25" s="25">
        <f>IF((T24*(1+Eingaben!$C$19)+G25)&gt;0,(U24+G25*(1+Eingaben!$B$22)^A25)*T25/(T24*(1+Eingaben!$C$19)+G25),0)</f>
        <v>775262.10919902415</v>
      </c>
      <c r="V25" s="25">
        <f>Eingaben!$B$31*MAX(0,T25*(1+Eingaben!$B$22)^A25-U25)/(1+Eingaben!$B$22)^A25</f>
        <v>483012.50738090934</v>
      </c>
      <c r="W25" s="13">
        <f>D25+E25+T25</f>
        <v>2329861.5609964416</v>
      </c>
      <c r="X25" s="25">
        <f>W25-V25</f>
        <v>1846849.0536155323</v>
      </c>
    </row>
    <row r="26" spans="1:24" x14ac:dyDescent="0.3">
      <c r="A26" s="33">
        <v>20</v>
      </c>
      <c r="B26" s="33">
        <f>Eingaben!$B$8+A26</f>
        <v>2046</v>
      </c>
      <c r="C26" s="33">
        <f>Eingaben!$B$9+A26</f>
        <v>40</v>
      </c>
      <c r="D26" s="34">
        <f>D25*(1+Eingaben!$C$20)</f>
        <v>30000</v>
      </c>
      <c r="E26" s="34" cm="1">
        <f t="array" ref="E26">SUMPRODUCT(('Leiter 3 und 5 Jahre'!$E$9:$E$13&gt;A26)*'Leiter 3 und 5 Jahre'!$O$9:$O$13)*(1+Eingaben!$C$21)^A26</f>
        <v>0</v>
      </c>
      <c r="F26" s="34" cm="1">
        <f t="array" ref="F26">SUMPRODUCT(('Leiter 3 und 5 Jahre'!$E$9:$E$13=A26)*'Leiter 3 und 5 Jahre'!$P$9:$P$13)</f>
        <v>0</v>
      </c>
      <c r="G26" s="34">
        <f>F26*Eingaben!$B$26</f>
        <v>0</v>
      </c>
      <c r="H26" s="34">
        <f>F26-G26</f>
        <v>0</v>
      </c>
      <c r="I26" s="34">
        <f>IF(AND(A26&gt;0,A26&gt;=Eingaben!$B$28,A26&lt;=Eingaben!$C$28),Eingaben!$B$27*12,0)</f>
        <v>0</v>
      </c>
      <c r="J26" s="34">
        <f>MAX(0,(J25*(1+Eingaben!$C$17)+G26)-I26)</f>
        <v>1236733.2892633746</v>
      </c>
      <c r="K26" s="34">
        <f>IF((J25*(1+Eingaben!$C$17)+G26)&gt;0,(K25+G26*(1+Eingaben!$B$22)^A26)*J26/(J25*(1+Eingaben!$C$17)+G26),0)</f>
        <v>775262.10919902404</v>
      </c>
      <c r="L26" s="34">
        <f>Eingaben!$B$31*MAX(0,J26*(1+Eingaben!$B$22)^A26-K26)/(1+Eingaben!$B$22)^A26</f>
        <v>209947.25862773421</v>
      </c>
      <c r="M26" s="31">
        <f>D26+E26+J26</f>
        <v>1266733.2892633746</v>
      </c>
      <c r="N26" s="34">
        <f>M26-L26</f>
        <v>1056786.0306356405</v>
      </c>
      <c r="O26" s="34">
        <f>MAX(0,(O25*(1+Eingaben!$C$18)+G26)-I26)</f>
        <v>1749244.0594867554</v>
      </c>
      <c r="P26" s="34">
        <f>IF((O25*(1+Eingaben!$C$18)+G26)&gt;0,(P25+G26*(1+Eingaben!$B$22)^A26)*O26/(O25*(1+Eingaben!$C$18)+G26),0)</f>
        <v>775262.10919902439</v>
      </c>
      <c r="Q26" s="34">
        <f>Eingaben!$B$31*MAX(0,O26*(1+Eingaben!$B$22)^A26-P26)/(1+Eingaben!$B$22)^A26</f>
        <v>343200.05888581323</v>
      </c>
      <c r="R26" s="31">
        <f>D26+E26+O26</f>
        <v>1779244.0594867554</v>
      </c>
      <c r="S26" s="34">
        <f>R26-Q26</f>
        <v>1436044.0006009422</v>
      </c>
      <c r="T26" s="34">
        <f>MAX(0,(T25*(1+Eingaben!$C$19)+G26)-I26)</f>
        <v>2460851.8702661926</v>
      </c>
      <c r="U26" s="34">
        <f>IF((T25*(1+Eingaben!$C$19)+G26)&gt;0,(U25+G26*(1+Eingaben!$B$22)^A26)*T26/(T25*(1+Eingaben!$C$19)+G26),0)</f>
        <v>775262.10919902415</v>
      </c>
      <c r="V26" s="34">
        <f>Eingaben!$B$31*MAX(0,T26*(1+Eingaben!$B$22)^A26-U26)/(1+Eingaben!$B$22)^A26</f>
        <v>528218.08968846686</v>
      </c>
      <c r="W26" s="31">
        <f>D26+E26+T26</f>
        <v>2490851.8702661926</v>
      </c>
      <c r="X26" s="34">
        <f>W26-V26</f>
        <v>1962633.7805777257</v>
      </c>
    </row>
    <row r="27" spans="1:24" x14ac:dyDescent="0.3">
      <c r="A27" s="30">
        <v>21</v>
      </c>
      <c r="B27" s="30">
        <f>Eingaben!$B$8+A27</f>
        <v>2047</v>
      </c>
      <c r="C27" s="30">
        <f>Eingaben!$B$9+A27</f>
        <v>41</v>
      </c>
      <c r="D27" s="25">
        <f>D26*(1+Eingaben!$C$20)</f>
        <v>30000</v>
      </c>
      <c r="E27" s="25" cm="1">
        <f t="array" ref="E27">SUMPRODUCT(('Leiter 3 und 5 Jahre'!$E$9:$E$13&gt;A27)*'Leiter 3 und 5 Jahre'!$O$9:$O$13)*(1+Eingaben!$C$21)^A27</f>
        <v>0</v>
      </c>
      <c r="F27" s="25" cm="1">
        <f t="array" ref="F27">SUMPRODUCT(('Leiter 3 und 5 Jahre'!$E$9:$E$13=A27)*'Leiter 3 und 5 Jahre'!$P$9:$P$13)</f>
        <v>0</v>
      </c>
      <c r="G27" s="25">
        <f>F27*Eingaben!$B$26</f>
        <v>0</v>
      </c>
      <c r="H27" s="25">
        <f>F27-G27</f>
        <v>0</v>
      </c>
      <c r="I27" s="25">
        <f>IF(AND(A27&gt;0,A27&gt;=Eingaben!$B$28,A27&lt;=Eingaben!$C$28),Eingaben!$B$27*12,0)</f>
        <v>0</v>
      </c>
      <c r="J27" s="25">
        <f>MAX(0,(J26*(1+Eingaben!$C$17)+G27)-I27)</f>
        <v>1273835.2879412759</v>
      </c>
      <c r="K27" s="25">
        <f>IF((J26*(1+Eingaben!$C$17)+G27)&gt;0,(K26+G27*(1+Eingaben!$B$22)^A27)*J27/(J26*(1+Eingaben!$C$17)+G27),0)</f>
        <v>775262.10919902404</v>
      </c>
      <c r="L27" s="25">
        <f>Eingaben!$B$31*MAX(0,J27*(1+Eingaben!$B$22)^A27-K27)/(1+Eingaben!$B$22)^A27</f>
        <v>222844.36265041798</v>
      </c>
      <c r="M27" s="13">
        <f>D27+E27+J27</f>
        <v>1303835.2879412759</v>
      </c>
      <c r="N27" s="25">
        <f>M27-L27</f>
        <v>1080990.9252908579</v>
      </c>
      <c r="O27" s="25">
        <f>MAX(0,(O26*(1+Eingaben!$C$18)+G27)-I27)</f>
        <v>1836706.2624610933</v>
      </c>
      <c r="P27" s="25">
        <f>IF((O26*(1+Eingaben!$C$18)+G27)&gt;0,(P26+G27*(1+Eingaben!$B$22)^A27)*O27/(O26*(1+Eingaben!$C$18)+G27),0)</f>
        <v>775262.10919902439</v>
      </c>
      <c r="Q27" s="25">
        <f>Eingaben!$B$31*MAX(0,O27*(1+Eingaben!$B$22)^A27-P27)/(1+Eingaben!$B$22)^A27</f>
        <v>369190.81602557044</v>
      </c>
      <c r="R27" s="13">
        <f>D27+E27+O27</f>
        <v>1866706.2624610933</v>
      </c>
      <c r="S27" s="25">
        <f>R27-Q27</f>
        <v>1497515.4464355228</v>
      </c>
      <c r="T27" s="25">
        <f>MAX(0,(T26*(1+Eingaben!$C$19)+G27)-I27)</f>
        <v>2633111.5011848263</v>
      </c>
      <c r="U27" s="25">
        <f>IF((T26*(1+Eingaben!$C$19)+G27)&gt;0,(U26+G27*(1+Eingaben!$B$22)^A27)*T27/(T26*(1+Eingaben!$C$19)+G27),0)</f>
        <v>775262.10919902415</v>
      </c>
      <c r="V27" s="25">
        <f>Eingaben!$B$31*MAX(0,T27*(1+Eingaben!$B$22)^A27-U27)/(1+Eingaben!$B$22)^A27</f>
        <v>576256.17809374095</v>
      </c>
      <c r="W27" s="13">
        <f>D27+E27+T27</f>
        <v>2663111.5011848263</v>
      </c>
      <c r="X27" s="25">
        <f>W27-V27</f>
        <v>2086855.3230910853</v>
      </c>
    </row>
    <row r="28" spans="1:24" x14ac:dyDescent="0.3">
      <c r="A28" s="30">
        <v>22</v>
      </c>
      <c r="B28" s="30">
        <f>Eingaben!$B$8+A28</f>
        <v>2048</v>
      </c>
      <c r="C28" s="30">
        <f>Eingaben!$B$9+A28</f>
        <v>42</v>
      </c>
      <c r="D28" s="25">
        <f>D27*(1+Eingaben!$C$20)</f>
        <v>30000</v>
      </c>
      <c r="E28" s="25" cm="1">
        <f t="array" ref="E28">SUMPRODUCT(('Leiter 3 und 5 Jahre'!$E$9:$E$13&gt;A28)*'Leiter 3 und 5 Jahre'!$O$9:$O$13)*(1+Eingaben!$C$21)^A28</f>
        <v>0</v>
      </c>
      <c r="F28" s="25" cm="1">
        <f t="array" ref="F28">SUMPRODUCT(('Leiter 3 und 5 Jahre'!$E$9:$E$13=A28)*'Leiter 3 und 5 Jahre'!$P$9:$P$13)</f>
        <v>0</v>
      </c>
      <c r="G28" s="25">
        <f>F28*Eingaben!$B$26</f>
        <v>0</v>
      </c>
      <c r="H28" s="25">
        <f>F28-G28</f>
        <v>0</v>
      </c>
      <c r="I28" s="25">
        <f>IF(AND(A28&gt;0,A28&gt;=Eingaben!$B$28,A28&lt;=Eingaben!$C$28),Eingaben!$B$27*12,0)</f>
        <v>0</v>
      </c>
      <c r="J28" s="25">
        <f>MAX(0,(J27*(1+Eingaben!$C$17)+G28)-I28)</f>
        <v>1312050.3465795142</v>
      </c>
      <c r="K28" s="25">
        <f>IF((J27*(1+Eingaben!$C$17)+G28)&gt;0,(K27+G28*(1+Eingaben!$B$22)^A28)*J28/(J27*(1+Eingaben!$C$17)+G28),0)</f>
        <v>775262.10919902404</v>
      </c>
      <c r="L28" s="25">
        <f>Eingaben!$B$31*MAX(0,J28*(1+Eingaben!$B$22)^A28-K28)/(1+Eingaben!$B$22)^A28</f>
        <v>235936.18504823316</v>
      </c>
      <c r="M28" s="13">
        <f>D28+E28+J28</f>
        <v>1342050.3465795142</v>
      </c>
      <c r="N28" s="25">
        <f>M28-L28</f>
        <v>1106114.161531281</v>
      </c>
      <c r="O28" s="25">
        <f>MAX(0,(O27*(1+Eingaben!$C$18)+G28)-I28)</f>
        <v>1928541.5755841481</v>
      </c>
      <c r="P28" s="25">
        <f>IF((O27*(1+Eingaben!$C$18)+G28)&gt;0,(P27+G28*(1+Eingaben!$B$22)^A28)*O28/(O27*(1+Eingaben!$C$18)+G28),0)</f>
        <v>775262.10919902427</v>
      </c>
      <c r="Q28" s="25">
        <f>Eingaben!$B$31*MAX(0,O28*(1+Eingaben!$B$22)^A28-P28)/(1+Eingaben!$B$22)^A28</f>
        <v>396223.90458943788</v>
      </c>
      <c r="R28" s="13">
        <f>D28+E28+O28</f>
        <v>1958541.5755841481</v>
      </c>
      <c r="S28" s="25">
        <f>R28-Q28</f>
        <v>1562317.6709947102</v>
      </c>
      <c r="T28" s="25">
        <f>MAX(0,(T27*(1+Eingaben!$C$19)+G28)-I28)</f>
        <v>2817429.3062677644</v>
      </c>
      <c r="U28" s="25">
        <f>IF((T27*(1+Eingaben!$C$19)+G28)&gt;0,(U27+G28*(1+Eingaben!$B$22)^A28)*T28/(T27*(1+Eingaben!$C$19)+G28),0)</f>
        <v>775262.10919902415</v>
      </c>
      <c r="V28" s="25">
        <f>Eingaben!$B$31*MAX(0,T28*(1+Eingaben!$B$22)^A28-U28)/(1+Eingaben!$B$22)^A28</f>
        <v>627334.71456717828</v>
      </c>
      <c r="W28" s="13">
        <f>D28+E28+T28</f>
        <v>2847429.3062677644</v>
      </c>
      <c r="X28" s="25">
        <f>W28-V28</f>
        <v>2220094.591700586</v>
      </c>
    </row>
    <row r="29" spans="1:24" x14ac:dyDescent="0.3">
      <c r="A29" s="30">
        <v>23</v>
      </c>
      <c r="B29" s="30">
        <f>Eingaben!$B$8+A29</f>
        <v>2049</v>
      </c>
      <c r="C29" s="30">
        <f>Eingaben!$B$9+A29</f>
        <v>43</v>
      </c>
      <c r="D29" s="25">
        <f>D28*(1+Eingaben!$C$20)</f>
        <v>30000</v>
      </c>
      <c r="E29" s="25" cm="1">
        <f t="array" ref="E29">SUMPRODUCT(('Leiter 3 und 5 Jahre'!$E$9:$E$13&gt;A29)*'Leiter 3 und 5 Jahre'!$O$9:$O$13)*(1+Eingaben!$C$21)^A29</f>
        <v>0</v>
      </c>
      <c r="F29" s="25" cm="1">
        <f t="array" ref="F29">SUMPRODUCT(('Leiter 3 und 5 Jahre'!$E$9:$E$13=A29)*'Leiter 3 und 5 Jahre'!$P$9:$P$13)</f>
        <v>0</v>
      </c>
      <c r="G29" s="25">
        <f>F29*Eingaben!$B$26</f>
        <v>0</v>
      </c>
      <c r="H29" s="25">
        <f>F29-G29</f>
        <v>0</v>
      </c>
      <c r="I29" s="25">
        <f>IF(AND(A29&gt;0,A29&gt;=Eingaben!$B$28,A29&lt;=Eingaben!$C$28),Eingaben!$B$27*12,0)</f>
        <v>0</v>
      </c>
      <c r="J29" s="25">
        <f>MAX(0,(J28*(1+Eingaben!$C$17)+G29)-I29)</f>
        <v>1351411.8569768998</v>
      </c>
      <c r="K29" s="25">
        <f>IF((J28*(1+Eingaben!$C$17)+G29)&gt;0,(K28+G29*(1+Eingaben!$B$22)^A29)*J29/(J28*(1+Eingaben!$C$17)+G29),0)</f>
        <v>775262.10919902404</v>
      </c>
      <c r="L29" s="25">
        <f>Eingaben!$B$31*MAX(0,J29*(1+Eingaben!$B$22)^A29-K29)/(1+Eingaben!$B$22)^A29</f>
        <v>249234.16527764392</v>
      </c>
      <c r="M29" s="13">
        <f>D29+E29+J29</f>
        <v>1381411.8569768998</v>
      </c>
      <c r="N29" s="25">
        <f>M29-L29</f>
        <v>1132177.691699256</v>
      </c>
      <c r="O29" s="25">
        <f>MAX(0,(O28*(1+Eingaben!$C$18)+G29)-I29)</f>
        <v>2024968.6543633556</v>
      </c>
      <c r="P29" s="25">
        <f>IF((O28*(1+Eingaben!$C$18)+G29)&gt;0,(P28+G29*(1+Eingaben!$B$22)^A29)*O29/(O28*(1+Eingaben!$C$18)+G29),0)</f>
        <v>775262.10919902427</v>
      </c>
      <c r="Q29" s="25">
        <f>Eingaben!$B$31*MAX(0,O29*(1+Eingaben!$B$22)^A29-P29)/(1+Eingaben!$B$22)^A29</f>
        <v>424358.9325981224</v>
      </c>
      <c r="R29" s="13">
        <f>D29+E29+O29</f>
        <v>2054968.6543633556</v>
      </c>
      <c r="S29" s="25">
        <f>R29-Q29</f>
        <v>1630609.7217652332</v>
      </c>
      <c r="T29" s="25">
        <f>MAX(0,(T28*(1+Eingaben!$C$19)+G29)-I29)</f>
        <v>3014649.3577065081</v>
      </c>
      <c r="U29" s="25">
        <f>IF((T28*(1+Eingaben!$C$19)+G29)&gt;0,(U28+G29*(1+Eingaben!$B$22)^A29)*T29/(T28*(1+Eingaben!$C$19)+G29),0)</f>
        <v>775262.10919902404</v>
      </c>
      <c r="V29" s="25">
        <f>Eingaben!$B$31*MAX(0,T29*(1+Eingaben!$B$22)^A29-U29)/(1+Eingaben!$B$22)^A29</f>
        <v>681675.91546734201</v>
      </c>
      <c r="W29" s="13">
        <f>D29+E29+T29</f>
        <v>3044649.3577065081</v>
      </c>
      <c r="X29" s="25">
        <f>W29-V29</f>
        <v>2362973.4422391662</v>
      </c>
    </row>
    <row r="30" spans="1:24" x14ac:dyDescent="0.3">
      <c r="A30" s="30">
        <v>24</v>
      </c>
      <c r="B30" s="30">
        <f>Eingaben!$B$8+A30</f>
        <v>2050</v>
      </c>
      <c r="C30" s="30">
        <f>Eingaben!$B$9+A30</f>
        <v>44</v>
      </c>
      <c r="D30" s="25">
        <f>D29*(1+Eingaben!$C$20)</f>
        <v>30000</v>
      </c>
      <c r="E30" s="25" cm="1">
        <f t="array" ref="E30">SUMPRODUCT(('Leiter 3 und 5 Jahre'!$E$9:$E$13&gt;A30)*'Leiter 3 und 5 Jahre'!$O$9:$O$13)*(1+Eingaben!$C$21)^A30</f>
        <v>0</v>
      </c>
      <c r="F30" s="25" cm="1">
        <f t="array" ref="F30">SUMPRODUCT(('Leiter 3 und 5 Jahre'!$E$9:$E$13=A30)*'Leiter 3 und 5 Jahre'!$P$9:$P$13)</f>
        <v>0</v>
      </c>
      <c r="G30" s="25">
        <f>F30*Eingaben!$B$26</f>
        <v>0</v>
      </c>
      <c r="H30" s="25">
        <f>F30-G30</f>
        <v>0</v>
      </c>
      <c r="I30" s="25">
        <f>IF(AND(A30&gt;0,A30&gt;=Eingaben!$B$28,A30&lt;=Eingaben!$C$28),Eingaben!$B$27*12,0)</f>
        <v>0</v>
      </c>
      <c r="J30" s="25">
        <f>MAX(0,(J29*(1+Eingaben!$C$17)+G30)-I30)</f>
        <v>1391954.2126862069</v>
      </c>
      <c r="K30" s="25">
        <f>IF((J29*(1+Eingaben!$C$17)+G30)&gt;0,(K29+G30*(1+Eingaben!$B$22)^A30)*J30/(J29*(1+Eingaben!$C$17)+G30),0)</f>
        <v>775262.10919902404</v>
      </c>
      <c r="L30" s="25">
        <f>Eingaben!$B$31*MAX(0,J30*(1+Eingaben!$B$22)^A30-K30)/(1+Eingaben!$B$22)^A30</f>
        <v>262749.9229330254</v>
      </c>
      <c r="M30" s="13">
        <f>D30+E30+J30</f>
        <v>1421954.2126862069</v>
      </c>
      <c r="N30" s="25">
        <f>M30-L30</f>
        <v>1159204.2897531814</v>
      </c>
      <c r="O30" s="25">
        <f>MAX(0,(O29*(1+Eingaben!$C$18)+G30)-I30)</f>
        <v>2126217.0870815236</v>
      </c>
      <c r="P30" s="25">
        <f>IF((O29*(1+Eingaben!$C$18)+G30)&gt;0,(P29+G30*(1+Eingaben!$B$22)^A30)*O30/(O29*(1+Eingaben!$C$18)+G30),0)</f>
        <v>775262.10919902427</v>
      </c>
      <c r="Q30" s="25">
        <f>Eingaben!$B$31*MAX(0,O30*(1+Eingaben!$B$22)^A30-P30)/(1+Eingaben!$B$22)^A30</f>
        <v>453658.27027580765</v>
      </c>
      <c r="R30" s="13">
        <f>D30+E30+O30</f>
        <v>2156217.0870815236</v>
      </c>
      <c r="S30" s="25">
        <f>R30-Q30</f>
        <v>1702558.8168057159</v>
      </c>
      <c r="T30" s="25">
        <f>MAX(0,(T29*(1+Eingaben!$C$19)+G30)-I30)</f>
        <v>3225674.8127459637</v>
      </c>
      <c r="U30" s="25">
        <f>IF((T29*(1+Eingaben!$C$19)+G30)&gt;0,(U29+G30*(1+Eingaben!$B$22)^A30)*T30/(T29*(1+Eingaben!$C$19)+G30),0)</f>
        <v>775262.10919902404</v>
      </c>
      <c r="V30" s="25">
        <f>Eingaben!$B$31*MAX(0,T30*(1+Eingaben!$B$22)^A30-U30)/(1+Eingaben!$B$22)^A30</f>
        <v>739517.27894856222</v>
      </c>
      <c r="W30" s="13">
        <f>D30+E30+T30</f>
        <v>3255674.8127459637</v>
      </c>
      <c r="X30" s="25">
        <f>W30-V30</f>
        <v>2516157.5337974015</v>
      </c>
    </row>
    <row r="31" spans="1:24" x14ac:dyDescent="0.3">
      <c r="A31" s="30">
        <v>25</v>
      </c>
      <c r="B31" s="30">
        <f>Eingaben!$B$8+A31</f>
        <v>2051</v>
      </c>
      <c r="C31" s="30">
        <f>Eingaben!$B$9+A31</f>
        <v>45</v>
      </c>
      <c r="D31" s="25">
        <f>D30*(1+Eingaben!$C$20)</f>
        <v>30000</v>
      </c>
      <c r="E31" s="25" cm="1">
        <f t="array" ref="E31">SUMPRODUCT(('Leiter 3 und 5 Jahre'!$E$9:$E$13&gt;A31)*'Leiter 3 und 5 Jahre'!$O$9:$O$13)*(1+Eingaben!$C$21)^A31</f>
        <v>0</v>
      </c>
      <c r="F31" s="25" cm="1">
        <f t="array" ref="F31">SUMPRODUCT(('Leiter 3 und 5 Jahre'!$E$9:$E$13=A31)*'Leiter 3 und 5 Jahre'!$P$9:$P$13)</f>
        <v>0</v>
      </c>
      <c r="G31" s="25">
        <f>F31*Eingaben!$B$26</f>
        <v>0</v>
      </c>
      <c r="H31" s="25">
        <f>F31-G31</f>
        <v>0</v>
      </c>
      <c r="I31" s="25">
        <f>IF(AND(A31&gt;0,A31&gt;=Eingaben!$B$28,A31&lt;=Eingaben!$C$28),Eingaben!$B$27*12,0)</f>
        <v>0</v>
      </c>
      <c r="J31" s="25">
        <f>MAX(0,(J30*(1+Eingaben!$C$17)+G31)-I31)</f>
        <v>1433712.8390667932</v>
      </c>
      <c r="K31" s="25">
        <f>IF((J30*(1+Eingaben!$C$17)+G31)&gt;0,(K30+G31*(1+Eingaben!$B$22)^A31)*J31/(J30*(1+Eingaben!$C$17)+G31),0)</f>
        <v>775262.10919902404</v>
      </c>
      <c r="L31" s="25">
        <f>Eingaben!$B$31*MAX(0,J31*(1+Eingaben!$B$22)^A31-K31)/(1+Eingaben!$B$22)^A31</f>
        <v>276495.26789970754</v>
      </c>
      <c r="M31" s="13">
        <f>D31+E31+J31</f>
        <v>1463712.8390667932</v>
      </c>
      <c r="N31" s="25">
        <f>M31-L31</f>
        <v>1187217.5711670858</v>
      </c>
      <c r="O31" s="25">
        <f>MAX(0,(O30*(1+Eingaben!$C$18)+G31)-I31)</f>
        <v>2232527.9414355997</v>
      </c>
      <c r="P31" s="25">
        <f>IF((O30*(1+Eingaben!$C$18)+G31)&gt;0,(P30+G31*(1+Eingaben!$B$22)^A31)*O31/(O30*(1+Eingaben!$C$18)+G31),0)</f>
        <v>775262.10919902427</v>
      </c>
      <c r="Q31" s="25">
        <f>Eingaben!$B$31*MAX(0,O31*(1+Eingaben!$B$22)^A31-P31)/(1+Eingaben!$B$22)^A31</f>
        <v>484187.19451559731</v>
      </c>
      <c r="R31" s="13">
        <f>D31+E31+O31</f>
        <v>2262527.9414355997</v>
      </c>
      <c r="S31" s="25">
        <f>R31-Q31</f>
        <v>1778340.7469200024</v>
      </c>
      <c r="T31" s="25">
        <f>MAX(0,(T30*(1+Eingaben!$C$19)+G31)-I31)</f>
        <v>3451472.0496381815</v>
      </c>
      <c r="U31" s="25">
        <f>IF((T30*(1+Eingaben!$C$19)+G31)&gt;0,(U30+G31*(1+Eingaben!$B$22)^A31)*T31/(T30*(1+Eingaben!$C$19)+G31),0)</f>
        <v>775262.10919902404</v>
      </c>
      <c r="V31" s="25">
        <f>Eingaben!$B$31*MAX(0,T31*(1+Eingaben!$B$22)^A31-U31)/(1+Eingaben!$B$22)^A31</f>
        <v>801112.66264826863</v>
      </c>
      <c r="W31" s="13">
        <f>D31+E31+T31</f>
        <v>3481472.0496381815</v>
      </c>
      <c r="X31" s="25">
        <f>W31-V31</f>
        <v>2680359.3869899129</v>
      </c>
    </row>
    <row r="32" spans="1:24" x14ac:dyDescent="0.3">
      <c r="A32" s="30">
        <v>26</v>
      </c>
      <c r="B32" s="30">
        <f>Eingaben!$B$8+A32</f>
        <v>2052</v>
      </c>
      <c r="C32" s="30">
        <f>Eingaben!$B$9+A32</f>
        <v>46</v>
      </c>
      <c r="D32" s="25">
        <f>D31*(1+Eingaben!$C$20)</f>
        <v>30000</v>
      </c>
      <c r="E32" s="25" cm="1">
        <f t="array" ref="E32">SUMPRODUCT(('Leiter 3 und 5 Jahre'!$E$9:$E$13&gt;A32)*'Leiter 3 und 5 Jahre'!$O$9:$O$13)*(1+Eingaben!$C$21)^A32</f>
        <v>0</v>
      </c>
      <c r="F32" s="25" cm="1">
        <f t="array" ref="F32">SUMPRODUCT(('Leiter 3 und 5 Jahre'!$E$9:$E$13=A32)*'Leiter 3 und 5 Jahre'!$P$9:$P$13)</f>
        <v>0</v>
      </c>
      <c r="G32" s="25">
        <f>F32*Eingaben!$B$26</f>
        <v>0</v>
      </c>
      <c r="H32" s="25">
        <f>F32-G32</f>
        <v>0</v>
      </c>
      <c r="I32" s="25">
        <f>IF(AND(A32&gt;0,A32&gt;=Eingaben!$B$28,A32&lt;=Eingaben!$C$28),Eingaben!$B$27*12,0)</f>
        <v>0</v>
      </c>
      <c r="J32" s="25">
        <f>MAX(0,(J31*(1+Eingaben!$C$17)+G32)-I32)</f>
        <v>1476724.2242387971</v>
      </c>
      <c r="K32" s="25">
        <f>IF((J31*(1+Eingaben!$C$17)+G32)&gt;0,(K31+G32*(1+Eingaben!$B$22)^A32)*J32/(J31*(1+Eingaben!$C$17)+G32),0)</f>
        <v>775262.10919902404</v>
      </c>
      <c r="L32" s="25">
        <f>Eingaben!$B$31*MAX(0,J32*(1+Eingaben!$B$22)^A32-K32)/(1+Eingaben!$B$22)^A32</f>
        <v>290482.21067329246</v>
      </c>
      <c r="M32" s="13">
        <f>D32+E32+J32</f>
        <v>1506724.2242387971</v>
      </c>
      <c r="N32" s="25">
        <f>M32-L32</f>
        <v>1216242.0135655047</v>
      </c>
      <c r="O32" s="25">
        <f>MAX(0,(O31*(1+Eingaben!$C$18)+G32)-I32)</f>
        <v>2344154.3385073799</v>
      </c>
      <c r="P32" s="25">
        <f>IF((O31*(1+Eingaben!$C$18)+G32)&gt;0,(P31+G32*(1+Eingaben!$B$22)^A32)*O32/(O31*(1+Eingaben!$C$18)+G32),0)</f>
        <v>775262.10919902427</v>
      </c>
      <c r="Q32" s="25">
        <f>Eingaben!$B$31*MAX(0,O32*(1+Eingaben!$B$22)^A32-P32)/(1+Eingaben!$B$22)^A32</f>
        <v>516014.04038312403</v>
      </c>
      <c r="R32" s="13">
        <f>D32+E32+O32</f>
        <v>2374154.3385073799</v>
      </c>
      <c r="S32" s="25">
        <f>R32-Q32</f>
        <v>1858140.2981242558</v>
      </c>
      <c r="T32" s="25">
        <f>MAX(0,(T31*(1+Eingaben!$C$19)+G32)-I32)</f>
        <v>3693075.0931128543</v>
      </c>
      <c r="U32" s="25">
        <f>IF((T31*(1+Eingaben!$C$19)+G32)&gt;0,(U31+G32*(1+Eingaben!$B$22)^A32)*T32/(T31*(1+Eingaben!$C$19)+G32),0)</f>
        <v>775262.10919902404</v>
      </c>
      <c r="V32" s="25">
        <f>Eingaben!$B$31*MAX(0,T32*(1+Eingaben!$B$22)^A32-U32)/(1+Eingaben!$B$22)^A32</f>
        <v>866733.43658054736</v>
      </c>
      <c r="W32" s="13">
        <f>D32+E32+T32</f>
        <v>3723075.0931128543</v>
      </c>
      <c r="X32" s="25">
        <f>W32-V32</f>
        <v>2856341.6565323072</v>
      </c>
    </row>
    <row r="33" spans="1:24" x14ac:dyDescent="0.3">
      <c r="A33" s="30">
        <v>27</v>
      </c>
      <c r="B33" s="30">
        <f>Eingaben!$B$8+A33</f>
        <v>2053</v>
      </c>
      <c r="C33" s="30">
        <f>Eingaben!$B$9+A33</f>
        <v>47</v>
      </c>
      <c r="D33" s="25">
        <f>D32*(1+Eingaben!$C$20)</f>
        <v>30000</v>
      </c>
      <c r="E33" s="25" cm="1">
        <f t="array" ref="E33">SUMPRODUCT(('Leiter 3 und 5 Jahre'!$E$9:$E$13&gt;A33)*'Leiter 3 und 5 Jahre'!$O$9:$O$13)*(1+Eingaben!$C$21)^A33</f>
        <v>0</v>
      </c>
      <c r="F33" s="25" cm="1">
        <f t="array" ref="F33">SUMPRODUCT(('Leiter 3 und 5 Jahre'!$E$9:$E$13=A33)*'Leiter 3 und 5 Jahre'!$P$9:$P$13)</f>
        <v>0</v>
      </c>
      <c r="G33" s="25">
        <f>F33*Eingaben!$B$26</f>
        <v>0</v>
      </c>
      <c r="H33" s="25">
        <f>F33-G33</f>
        <v>0</v>
      </c>
      <c r="I33" s="25">
        <f>IF(AND(A33&gt;0,A33&gt;=Eingaben!$B$28,A33&lt;=Eingaben!$C$28),Eingaben!$B$27*12,0)</f>
        <v>0</v>
      </c>
      <c r="J33" s="25">
        <f>MAX(0,(J32*(1+Eingaben!$C$17)+G33)-I33)</f>
        <v>1521025.950965961</v>
      </c>
      <c r="K33" s="25">
        <f>IF((J32*(1+Eingaben!$C$17)+G33)&gt;0,(K32+G33*(1+Eingaben!$B$22)^A33)*J33/(J32*(1+Eingaben!$C$17)+G33),0)</f>
        <v>775262.10919902404</v>
      </c>
      <c r="L33" s="25">
        <f>Eingaben!$B$31*MAX(0,J33*(1+Eingaben!$B$22)^A33-K33)/(1+Eingaben!$B$22)^A33</f>
        <v>304722.97285426169</v>
      </c>
      <c r="M33" s="13">
        <f>D33+E33+J33</f>
        <v>1551025.950965961</v>
      </c>
      <c r="N33" s="25">
        <f>M33-L33</f>
        <v>1246302.9781116992</v>
      </c>
      <c r="O33" s="25">
        <f>MAX(0,(O32*(1+Eingaben!$C$18)+G33)-I33)</f>
        <v>2461362.055432749</v>
      </c>
      <c r="P33" s="25">
        <f>IF((O32*(1+Eingaben!$C$18)+G33)&gt;0,(P32+G33*(1+Eingaben!$B$22)^A33)*O33/(O32*(1+Eingaben!$C$18)+G33),0)</f>
        <v>775262.10919902427</v>
      </c>
      <c r="Q33" s="25">
        <f>Eingaben!$B$31*MAX(0,O33*(1+Eingaben!$B$22)^A33-P33)/(1+Eingaben!$B$22)^A33</f>
        <v>549210.36001562665</v>
      </c>
      <c r="R33" s="13">
        <f>D33+E33+O33</f>
        <v>2491362.055432749</v>
      </c>
      <c r="S33" s="25">
        <f>R33-Q33</f>
        <v>1942151.6954171224</v>
      </c>
      <c r="T33" s="25">
        <f>MAX(0,(T32*(1+Eingaben!$C$19)+G33)-I33)</f>
        <v>3951590.3496307544</v>
      </c>
      <c r="U33" s="25">
        <f>IF((T32*(1+Eingaben!$C$19)+G33)&gt;0,(U32+G33*(1+Eingaben!$B$22)^A33)*T33/(T32*(1+Eingaben!$C$19)+G33),0)</f>
        <v>775262.10919902404</v>
      </c>
      <c r="V33" s="25">
        <f>Eingaben!$B$31*MAX(0,T33*(1+Eingaben!$B$22)^A33-U33)/(1+Eingaben!$B$22)^A33</f>
        <v>936669.71650710807</v>
      </c>
      <c r="W33" s="13">
        <f>D33+E33+T33</f>
        <v>3981590.3496307544</v>
      </c>
      <c r="X33" s="25">
        <f>W33-V33</f>
        <v>3044920.6331236465</v>
      </c>
    </row>
    <row r="34" spans="1:24" x14ac:dyDescent="0.3">
      <c r="A34" s="30">
        <v>28</v>
      </c>
      <c r="B34" s="30">
        <f>Eingaben!$B$8+A34</f>
        <v>2054</v>
      </c>
      <c r="C34" s="30">
        <f>Eingaben!$B$9+A34</f>
        <v>48</v>
      </c>
      <c r="D34" s="25">
        <f>D33*(1+Eingaben!$C$20)</f>
        <v>30000</v>
      </c>
      <c r="E34" s="25" cm="1">
        <f t="array" ref="E34">SUMPRODUCT(('Leiter 3 und 5 Jahre'!$E$9:$E$13&gt;A34)*'Leiter 3 und 5 Jahre'!$O$9:$O$13)*(1+Eingaben!$C$21)^A34</f>
        <v>0</v>
      </c>
      <c r="F34" s="25" cm="1">
        <f t="array" ref="F34">SUMPRODUCT(('Leiter 3 und 5 Jahre'!$E$9:$E$13=A34)*'Leiter 3 und 5 Jahre'!$P$9:$P$13)</f>
        <v>0</v>
      </c>
      <c r="G34" s="25">
        <f>F34*Eingaben!$B$26</f>
        <v>0</v>
      </c>
      <c r="H34" s="25">
        <f>F34-G34</f>
        <v>0</v>
      </c>
      <c r="I34" s="25">
        <f>IF(AND(A34&gt;0,A34&gt;=Eingaben!$B$28,A34&lt;=Eingaben!$C$28),Eingaben!$B$27*12,0)</f>
        <v>0</v>
      </c>
      <c r="J34" s="25">
        <f>MAX(0,(J33*(1+Eingaben!$C$17)+G34)-I34)</f>
        <v>1566656.7294949398</v>
      </c>
      <c r="K34" s="25">
        <f>IF((J33*(1+Eingaben!$C$17)+G34)&gt;0,(K33+G34*(1+Eingaben!$B$22)^A34)*J34/(J33*(1+Eingaben!$C$17)+G34),0)</f>
        <v>775262.10919902404</v>
      </c>
      <c r="L34" s="25">
        <f>Eingaben!$B$31*MAX(0,J34*(1+Eingaben!$B$22)^A34-K34)/(1+Eingaben!$B$22)^A34</f>
        <v>319229.99782704533</v>
      </c>
      <c r="M34" s="13">
        <f>D34+E34+J34</f>
        <v>1596656.7294949398</v>
      </c>
      <c r="N34" s="25">
        <f>M34-L34</f>
        <v>1277426.7316678944</v>
      </c>
      <c r="O34" s="25">
        <f>MAX(0,(O33*(1+Eingaben!$C$18)+G34)-I34)</f>
        <v>2584430.1582043865</v>
      </c>
      <c r="P34" s="25">
        <f>IF((O33*(1+Eingaben!$C$18)+G34)&gt;0,(P33+G34*(1+Eingaben!$B$22)^A34)*O34/(O33*(1+Eingaben!$C$18)+G34),0)</f>
        <v>775262.10919902427</v>
      </c>
      <c r="Q34" s="25">
        <f>Eingaben!$B$31*MAX(0,O34*(1+Eingaben!$B$22)^A34-P34)/(1+Eingaben!$B$22)^A34</f>
        <v>583851.08929150156</v>
      </c>
      <c r="R34" s="13">
        <f>D34+E34+O34</f>
        <v>2614430.1582043865</v>
      </c>
      <c r="S34" s="25">
        <f>R34-Q34</f>
        <v>2030579.0689128849</v>
      </c>
      <c r="T34" s="25">
        <f>MAX(0,(T33*(1+Eingaben!$C$19)+G34)-I34)</f>
        <v>4228201.6741049075</v>
      </c>
      <c r="U34" s="25">
        <f>IF((T33*(1+Eingaben!$C$19)+G34)&gt;0,(U33+G34*(1+Eingaben!$B$22)^A34)*T34/(T33*(1+Eingaben!$C$19)+G34),0)</f>
        <v>775262.10919902404</v>
      </c>
      <c r="V34" s="25">
        <f>Eingaben!$B$31*MAX(0,T34*(1+Eingaben!$B$22)^A34-U34)/(1+Eingaben!$B$22)^A34</f>
        <v>1011231.6834256368</v>
      </c>
      <c r="W34" s="13">
        <f>D34+E34+T34</f>
        <v>4258201.6741049075</v>
      </c>
      <c r="X34" s="25">
        <f>W34-V34</f>
        <v>3246969.9906792706</v>
      </c>
    </row>
    <row r="35" spans="1:24" x14ac:dyDescent="0.3">
      <c r="A35" s="30">
        <v>29</v>
      </c>
      <c r="B35" s="30">
        <f>Eingaben!$B$8+A35</f>
        <v>2055</v>
      </c>
      <c r="C35" s="30">
        <f>Eingaben!$B$9+A35</f>
        <v>49</v>
      </c>
      <c r="D35" s="25">
        <f>D34*(1+Eingaben!$C$20)</f>
        <v>30000</v>
      </c>
      <c r="E35" s="25" cm="1">
        <f t="array" ref="E35">SUMPRODUCT(('Leiter 3 und 5 Jahre'!$E$9:$E$13&gt;A35)*'Leiter 3 und 5 Jahre'!$O$9:$O$13)*(1+Eingaben!$C$21)^A35</f>
        <v>0</v>
      </c>
      <c r="F35" s="25" cm="1">
        <f t="array" ref="F35">SUMPRODUCT(('Leiter 3 und 5 Jahre'!$E$9:$E$13=A35)*'Leiter 3 und 5 Jahre'!$P$9:$P$13)</f>
        <v>0</v>
      </c>
      <c r="G35" s="25">
        <f>F35*Eingaben!$B$26</f>
        <v>0</v>
      </c>
      <c r="H35" s="25">
        <f>F35-G35</f>
        <v>0</v>
      </c>
      <c r="I35" s="25">
        <f>IF(AND(A35&gt;0,A35&gt;=Eingaben!$B$28,A35&lt;=Eingaben!$C$28),Eingaben!$B$27*12,0)</f>
        <v>0</v>
      </c>
      <c r="J35" s="25">
        <f>MAX(0,(J34*(1+Eingaben!$C$17)+G35)-I35)</f>
        <v>1613656.4313797881</v>
      </c>
      <c r="K35" s="25">
        <f>IF((J34*(1+Eingaben!$C$17)+G35)&gt;0,(K34+G35*(1+Eingaben!$B$22)^A35)*J35/(J34*(1+Eingaben!$C$17)+G35),0)</f>
        <v>775262.10919902404</v>
      </c>
      <c r="L35" s="25">
        <f>Eingaben!$B$31*MAX(0,J35*(1+Eingaben!$B$22)^A35-K35)/(1+Eingaben!$B$22)^A35</f>
        <v>334015.96163288184</v>
      </c>
      <c r="M35" s="13">
        <f>D35+E35+J35</f>
        <v>1643656.4313797881</v>
      </c>
      <c r="N35" s="25">
        <f>M35-L35</f>
        <v>1309640.4697469063</v>
      </c>
      <c r="O35" s="25">
        <f>MAX(0,(O34*(1+Eingaben!$C$18)+G35)-I35)</f>
        <v>2713651.666114606</v>
      </c>
      <c r="P35" s="25">
        <f>IF((O34*(1+Eingaben!$C$18)+G35)&gt;0,(P34+G35*(1+Eingaben!$B$22)^A35)*O35/(O34*(1+Eingaben!$C$18)+G35),0)</f>
        <v>775262.10919902427</v>
      </c>
      <c r="Q35" s="25">
        <f>Eingaben!$B$31*MAX(0,O35*(1+Eingaben!$B$22)^A35-P35)/(1+Eingaben!$B$22)^A35</f>
        <v>620014.72266393446</v>
      </c>
      <c r="R35" s="13">
        <f>D35+E35+O35</f>
        <v>2743651.666114606</v>
      </c>
      <c r="S35" s="25">
        <f>R35-Q35</f>
        <v>2123636.9434506716</v>
      </c>
      <c r="T35" s="25">
        <f>MAX(0,(T34*(1+Eingaben!$C$19)+G35)-I35)</f>
        <v>4524175.7912922511</v>
      </c>
      <c r="U35" s="25">
        <f>IF((T34*(1+Eingaben!$C$19)+G35)&gt;0,(U34+G35*(1+Eingaben!$B$22)^A35)*T35/(T34*(1+Eingaben!$C$19)+G35),0)</f>
        <v>775262.10919902404</v>
      </c>
      <c r="V35" s="25">
        <f>Eingaben!$B$31*MAX(0,T35*(1+Eingaben!$B$22)^A35-U35)/(1+Eingaben!$B$22)^A35</f>
        <v>1090750.9952101223</v>
      </c>
      <c r="W35" s="13">
        <f>D35+E35+T35</f>
        <v>4554175.7912922511</v>
      </c>
      <c r="X35" s="25">
        <f>W35-V35</f>
        <v>3463424.7960821288</v>
      </c>
    </row>
    <row r="36" spans="1:24" x14ac:dyDescent="0.3">
      <c r="A36" s="33">
        <v>30</v>
      </c>
      <c r="B36" s="33">
        <f>Eingaben!$B$8+A36</f>
        <v>2056</v>
      </c>
      <c r="C36" s="33">
        <f>Eingaben!$B$9+A36</f>
        <v>50</v>
      </c>
      <c r="D36" s="34">
        <f>D35*(1+Eingaben!$C$20)</f>
        <v>30000</v>
      </c>
      <c r="E36" s="34" cm="1">
        <f t="array" ref="E36">SUMPRODUCT(('Leiter 3 und 5 Jahre'!$E$9:$E$13&gt;A36)*'Leiter 3 und 5 Jahre'!$O$9:$O$13)*(1+Eingaben!$C$21)^A36</f>
        <v>0</v>
      </c>
      <c r="F36" s="34" cm="1">
        <f t="array" ref="F36">SUMPRODUCT(('Leiter 3 und 5 Jahre'!$E$9:$E$13=A36)*'Leiter 3 und 5 Jahre'!$P$9:$P$13)</f>
        <v>0</v>
      </c>
      <c r="G36" s="34">
        <f>F36*Eingaben!$B$26</f>
        <v>0</v>
      </c>
      <c r="H36" s="34">
        <f>F36-G36</f>
        <v>0</v>
      </c>
      <c r="I36" s="34">
        <f>IF(AND(A36&gt;0,A36&gt;=Eingaben!$B$28,A36&lt;=Eingaben!$C$28),Eingaben!$B$27*12,0)</f>
        <v>0</v>
      </c>
      <c r="J36" s="34">
        <f>MAX(0,(J35*(1+Eingaben!$C$17)+G36)-I36)</f>
        <v>1662066.1243211818</v>
      </c>
      <c r="K36" s="34">
        <f>IF((J35*(1+Eingaben!$C$17)+G36)&gt;0,(K35+G36*(1+Eingaben!$B$22)^A36)*J36/(J35*(1+Eingaben!$C$17)+G36),0)</f>
        <v>775262.10919902415</v>
      </c>
      <c r="L36" s="34">
        <f>Eingaben!$B$31*MAX(0,J36*(1+Eingaben!$B$22)^A36-K36)/(1+Eingaben!$B$22)^A36</f>
        <v>349093.78404597024</v>
      </c>
      <c r="M36" s="31">
        <f>D36+E36+J36</f>
        <v>1692066.1243211818</v>
      </c>
      <c r="N36" s="34">
        <f>M36-L36</f>
        <v>1342972.3402752115</v>
      </c>
      <c r="O36" s="34">
        <f>MAX(0,(O35*(1+Eingaben!$C$18)+G36)-I36)</f>
        <v>2849334.2494203364</v>
      </c>
      <c r="P36" s="34">
        <f>IF((O35*(1+Eingaben!$C$18)+G36)&gt;0,(P35+G36*(1+Eingaben!$B$22)^A36)*O36/(O35*(1+Eingaben!$C$18)+G36),0)</f>
        <v>775262.10919902439</v>
      </c>
      <c r="Q36" s="34">
        <f>Eingaben!$B$31*MAX(0,O36*(1+Eingaben!$B$22)^A36-P36)/(1+Eingaben!$B$22)^A36</f>
        <v>657783.49657175038</v>
      </c>
      <c r="R36" s="31">
        <f>D36+E36+O36</f>
        <v>2879334.2494203364</v>
      </c>
      <c r="S36" s="34">
        <f>R36-Q36</f>
        <v>2221550.7528485861</v>
      </c>
      <c r="T36" s="34">
        <f>MAX(0,(T35*(1+Eingaben!$C$19)+G36)-I36)</f>
        <v>4840868.0966827087</v>
      </c>
      <c r="U36" s="34">
        <f>IF((T35*(1+Eingaben!$C$19)+G36)&gt;0,(U35+G36*(1+Eingaben!$B$22)^A36)*T36/(T35*(1+Eingaben!$C$19)+G36),0)</f>
        <v>775262.10919902404</v>
      </c>
      <c r="V36" s="34">
        <f>Eingaben!$B$31*MAX(0,T36*(1+Eingaben!$B$22)^A36-U36)/(1+Eingaben!$B$22)^A36</f>
        <v>1175582.2968599673</v>
      </c>
      <c r="W36" s="31">
        <f>D36+E36+T36</f>
        <v>4870868.0966827087</v>
      </c>
      <c r="X36" s="34">
        <f>W36-V36</f>
        <v>3695285.7998227412</v>
      </c>
    </row>
  </sheetData>
  <mergeCells count="4">
    <mergeCell ref="A4:I4"/>
    <mergeCell ref="J4:N4"/>
    <mergeCell ref="O4:S4"/>
    <mergeCell ref="T4:X4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Eingaben</vt:lpstr>
      <vt:lpstr>Ergebnisse</vt:lpstr>
      <vt:lpstr>Leiter 3 und 5 Jahre</vt:lpstr>
      <vt:lpstr>Einstieg</vt:lpstr>
      <vt:lpstr>Entwicklung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Versicherungsagentur Markus Tschaffler  Markus Tschaff</cp:lastModifiedBy>
  <cp:revision>1</cp:revision>
  <dcterms:created xsi:type="dcterms:W3CDTF">2026-10-10T05:56:48Z</dcterms:created>
  <dcterms:modified xsi:type="dcterms:W3CDTF">2026-10-10T06:45:11Z</dcterms:modified>
  <dc:language>en-US</dc:language>
</cp:coreProperties>
</file>